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_rels/sheet1.xml.rels" ContentType="application/vnd.openxmlformats-package.relationships+xml"/>
  <Override PartName="/xl/worksheets/_rels/sheet1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3.png" ContentType="image/png"/>
  <Override PartName="/xl/media/image2.png" ContentType="image/png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Porto Alegre" sheetId="4" state="visible" r:id="rId6"/>
    <sheet name="Desl. Base Porto Alegre" sheetId="5" state="visible" r:id="rId7"/>
    <sheet name="Base Pelotas" sheetId="6" state="visible" r:id="rId8"/>
    <sheet name="Desl. Base Pelotas" sheetId="7" state="visible" r:id="rId9"/>
    <sheet name="Comp. Veículo" sheetId="8" state="visible" r:id="rId10"/>
    <sheet name="Custo Eng. Eletricista" sheetId="9" state="visible" r:id="rId11"/>
    <sheet name="Comp. Eng. Eletricista" sheetId="10" state="visible" r:id="rId12"/>
    <sheet name="Custo Oficial de Manutenção" sheetId="11" state="visible" r:id="rId13"/>
    <sheet name="Comp. Oficial de Manutenção" sheetId="12" state="visible" r:id="rId14"/>
    <sheet name="Unidades" sheetId="13" state="visible" r:id="rId15"/>
    <sheet name="BDI" sheetId="14" state="visible" r:id="rId16"/>
    <sheet name="Divisão Custos ISSQN" sheetId="15" state="visible" r:id="rId17"/>
  </sheets>
  <definedNames>
    <definedName function="false" hidden="false" localSheetId="5" name="_xlnm.Print_Area" vbProcedure="false">'Base Pelotas'!$B$2:$AW$23</definedName>
    <definedName function="false" hidden="false" localSheetId="3" name="_xlnm.Print_Area" vbProcedure="false">'Base Porto Alegre'!$B$2:$AW$25</definedName>
    <definedName function="false" hidden="false" localSheetId="13" name="_xlnm.Print_Area" vbProcedure="false">BDI!$B$1:$J$44</definedName>
    <definedName function="false" hidden="false" localSheetId="6" name="_xlnm.Print_Area" vbProcedure="false">'Desl. Base Pelotas'!$B$2:$M$48</definedName>
    <definedName function="false" hidden="false" localSheetId="4" name="_xlnm.Print_Area" vbProcedure="false">'Desl. Base Porto Alegre'!$B$2:$M$31</definedName>
    <definedName function="false" hidden="false" localSheetId="2" name="_xlnm.Print_Area" vbProcedure="false">'Equipe Técnica'!$B$2:$E$13</definedName>
    <definedName function="false" hidden="false" localSheetId="12" name="_xlnm.Print_Area" vbProcedure="false">Unidades!$B$2:$H$26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<sst xmlns="http://schemas.openxmlformats.org/spreadsheetml/2006/main" count="789" uniqueCount="319">
  <si>
    <t xml:space="preserve">ANEXO I – B7</t>
  </si>
  <si>
    <t xml:space="preserve">PLANILHA DETALHADA DE FORMAÇÃO DE PREÇO</t>
  </si>
  <si>
    <t xml:space="preserve">POLO VII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</si>
  <si>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</si>
  <si>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</si>
  <si>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</si>
  <si>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</si>
  <si>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</si>
  <si>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</si>
  <si>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</si>
  <si>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VII.</t>
  </si>
  <si>
    <t xml:space="preserve">Mês</t>
  </si>
  <si>
    <t xml:space="preserve">VALOR TOTAL DO ITEM 3: R$ 3.018.738,00 (Três milhões dezoito mil setecentos e trinta e oito reais).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</si>
  <si>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</si>
  <si>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</si>
  <si>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</si>
  <si>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</si>
  <si>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</si>
  <si>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</si>
  <si>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</si>
  <si>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</si>
  <si>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PORTO ALEGRE</t>
  </si>
  <si>
    <t xml:space="preserve">PELOTAS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</si>
  <si>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</si>
  <si>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</si>
  <si>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</si>
  <si>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</si>
  <si>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</si>
  <si>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</si>
  <si>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</si>
  <si>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</si>
  <si>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</si>
  <si>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</si>
  <si>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</si>
  <si>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</si>
  <si>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</si>
  <si>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</si>
  <si>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</si>
  <si>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</si>
  <si>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</si>
  <si>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</si>
  <si>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</si>
  <si>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</si>
  <si>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</si>
  <si>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</si>
  <si>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</si>
  <si>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</si>
  <si>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</si>
  <si>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</si>
  <si>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</si>
  <si>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</si>
  <si>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</si>
  <si>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</si>
  <si>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</si>
  <si>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</si>
  <si>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</si>
  <si>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</si>
  <si>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</si>
  <si>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</si>
  <si>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</si>
  <si>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</si>
  <si>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</si>
  <si>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</si>
  <si>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</si>
  <si>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</si>
  <si>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</si>
  <si>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</si>
  <si>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</si>
  <si>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</si>
  <si>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</si>
  <si>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</si>
  <si>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</si>
  <si>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</si>
  <si>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</si>
  <si>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</si>
  <si>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</si>
  <si>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</si>
  <si>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</si>
  <si>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</si>
  <si>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</si>
  <si>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</si>
  <si>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ESTEIO</t>
  </si>
  <si>
    <t xml:space="preserve">Custo por tipo de rotina</t>
  </si>
  <si>
    <t xml:space="preserve">APS CACHOEIRINHA</t>
  </si>
  <si>
    <t xml:space="preserve">Custo Anual por tipo de rotina</t>
  </si>
  <si>
    <t xml:space="preserve">APS GRAVATAÍ</t>
  </si>
  <si>
    <t xml:space="preserve">APS GUAÍBA</t>
  </si>
  <si>
    <t xml:space="preserve">CEDOCPREV CANOAS</t>
  </si>
  <si>
    <t xml:space="preserve">Custo Anual Preventiva</t>
  </si>
  <si>
    <t xml:space="preserve">DEPÓSITO ESTEIO</t>
  </si>
  <si>
    <t xml:space="preserve">GEX/APS CANOAS</t>
  </si>
  <si>
    <t xml:space="preserve">Custo Anual Corretiva</t>
  </si>
  <si>
    <t xml:space="preserve">APS ALVORADA</t>
  </si>
  <si>
    <t xml:space="preserve">APS PORTO ALEGRE- CENTRO</t>
  </si>
  <si>
    <t xml:space="preserve">Custo Anual Manutenção</t>
  </si>
  <si>
    <t xml:space="preserve">APS PORTO ALEGRE-PARTENON</t>
  </si>
  <si>
    <t xml:space="preserve">APS PORTO ALEGRE-SUL</t>
  </si>
  <si>
    <t xml:space="preserve">CEDOCPREV PORTO ALEGRE</t>
  </si>
  <si>
    <t xml:space="preserve">GEX PORTO ALEGRE</t>
  </si>
  <si>
    <t xml:space="preserve">IPASE PORTO ALEGRE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</si>
  <si>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</si>
  <si>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</si>
  <si>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</si>
  <si>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</si>
  <si>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</si>
  <si>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</si>
  <si>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</si>
  <si>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</si>
  <si>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</si>
  <si>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</si>
  <si>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</si>
  <si>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</si>
  <si>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</si>
  <si>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</si>
  <si>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</si>
  <si>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</si>
  <si>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</si>
  <si>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</si>
  <si>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</si>
  <si>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</si>
  <si>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</si>
  <si>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</si>
  <si>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</si>
  <si>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</si>
  <si>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</si>
  <si>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</si>
  <si>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</si>
  <si>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</si>
  <si>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</si>
  <si>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</si>
  <si>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</si>
  <si>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</si>
  <si>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APS CAMAQUÃ</t>
  </si>
  <si>
    <t xml:space="preserve">APS CAPÃO DO LEÃO</t>
  </si>
  <si>
    <t xml:space="preserve">APS JAGUARÃO</t>
  </si>
  <si>
    <t xml:space="preserve">APS RIO GRANDE</t>
  </si>
  <si>
    <t xml:space="preserve">APS SANTA VITÓRIA DO PALMAR</t>
  </si>
  <si>
    <t xml:space="preserve">APS SÃO JOSÉ DO NORTE</t>
  </si>
  <si>
    <t xml:space="preserve">APS SÃO LOURENÇO DO SUL</t>
  </si>
  <si>
    <t xml:space="preserve">APS TAPES</t>
  </si>
  <si>
    <t xml:space="preserve">GEX/APS PELOTAS</t>
  </si>
  <si>
    <t xml:space="preserve">Pedágio (ida e volta)</t>
  </si>
  <si>
    <t xml:space="preserve">Pedágios</t>
  </si>
  <si>
    <t xml:space="preserve">Preços pesquisados em 20/10/2023.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</si>
  <si>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</si>
  <si>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</si>
  <si>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</si>
  <si>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</si>
  <si>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Agosto/2024.</t>
  </si>
  <si>
    <t xml:space="preserve">COMPOSIÇÃO CUSTO DO VEÍCULO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</si>
  <si>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</si>
  <si>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</si>
  <si>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</si>
  <si>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</si>
  <si>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</si>
  <si>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</si>
  <si>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</si>
  <si>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Rio Grande do Sul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</si>
  <si>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</si>
  <si>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</si>
  <si>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</si>
  <si>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</si>
  <si>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</si>
  <si>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</si>
  <si>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</si>
  <si>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</si>
  <si>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</si>
  <si>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</si>
  <si>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</si>
  <si>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</si>
  <si>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</si>
  <si>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</si>
  <si>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</si>
  <si>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</si>
  <si>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</si>
  <si>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</si>
  <si>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</si>
  <si>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</si>
  <si>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Valor Unitário Não Desonerado</t>
  </si>
  <si>
    <t xml:space="preserve">RIO GRANDE DO SUL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</si>
  <si>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</si>
  <si>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</si>
  <si>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</si>
  <si>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</si>
  <si>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</si>
  <si>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</si>
  <si>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</si>
  <si>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21: Encargos Sociais – Rio Grande do Sul</t>
  </si>
  <si>
    <t xml:space="preserve">Horista Desonerado</t>
  </si>
  <si>
    <t xml:space="preserve">Horista Não Desonerado</t>
  </si>
  <si>
    <t xml:space="preserve">Cálculo custo do funcionário</t>
  </si>
  <si>
    <r>
      <rPr>
        <sz val="11"/>
        <color rgb="FF00000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</si>
  <si>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</si>
  <si>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</si>
  <si>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</si>
  <si>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</si>
  <si>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</si>
  <si>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</si>
  <si>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</si>
  <si>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</si>
  <si>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</si>
  <si>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</si>
  <si>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</si>
  <si>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</si>
  <si>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</si>
  <si>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</si>
  <si>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</si>
  <si>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</si>
  <si>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</si>
  <si>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</si>
  <si>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</si>
  <si>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</si>
  <si>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</si>
  <si>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</si>
  <si>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</si>
  <si>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</si>
  <si>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Oficial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</si>
  <si>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</si>
  <si>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RS002811/2024</t>
    </r>
  </si>
  <si>
    <t xml:space="preserve">Abrangência</t>
  </si>
  <si>
    <t xml:space="preserve">Trabalhadores das indústrias da construção civil de Porto Alegre/RS e região</t>
  </si>
  <si>
    <t xml:space="preserve">Salário base (SB)</t>
  </si>
  <si>
    <t xml:space="preserve">Encargos Sociais (**) - (ES)
Apêndice 21: Encargos Sociais – Rio Grande do Sul</t>
  </si>
  <si>
    <t xml:space="preserve">Mensalista Desonerado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</si>
  <si>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</si>
  <si>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</si>
  <si>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</si>
  <si>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</si>
  <si>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</si>
  <si>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</si>
  <si>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</si>
  <si>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</si>
  <si>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</si>
  <si>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</si>
  <si>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</si>
  <si>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</si>
  <si>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</si>
  <si>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</si>
  <si>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t xml:space="preserve">OFICIAL DE MANUTENÇÃO PREDIAL (OFICIAL/PROFISSIONAL CCT RS002811/2024)</t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</si>
  <si>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</si>
  <si>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</si>
  <si>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</si>
  <si>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</si>
  <si>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</si>
  <si>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</si>
  <si>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</si>
  <si>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</si>
  <si>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</si>
  <si>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</si>
  <si>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</si>
  <si>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</si>
  <si>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</si>
  <si>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</si>
  <si>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</si>
  <si>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</si>
  <si>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CANOAS</t>
  </si>
  <si>
    <t xml:space="preserve">Av. Gen. Flores da Cunha, 4001 - Vila Bom Princípio</t>
  </si>
  <si>
    <t xml:space="preserve">NÃO</t>
  </si>
  <si>
    <t xml:space="preserve">Rua General José Machado Lopes, 256, Centro</t>
  </si>
  <si>
    <t xml:space="preserve">SIM</t>
  </si>
  <si>
    <t xml:space="preserve">Rua Coronel Sarmento, 1321, Centro</t>
  </si>
  <si>
    <t xml:space="preserve">Rua Sete de Setembro, 36, Centro</t>
  </si>
  <si>
    <t xml:space="preserve">Rua Paes Leme, 300, Rio Branco</t>
  </si>
  <si>
    <t xml:space="preserve">Rua Olga Jancowski, 68, Três Portos</t>
  </si>
  <si>
    <t xml:space="preserve">Av. Inconfidência, 778, Marechal Rondon</t>
  </si>
  <si>
    <t xml:space="preserve">Av. Maringá, 1201</t>
  </si>
  <si>
    <t xml:space="preserve">Avenida Borges de Medeiros, nº 530, Centro</t>
  </si>
  <si>
    <t xml:space="preserve">Av. Bento Gonçalves, 867</t>
  </si>
  <si>
    <t xml:space="preserve">Estrada Vila Maria, 265</t>
  </si>
  <si>
    <t xml:space="preserve">Rua Marechal Andrea, 351 / Boa vista</t>
  </si>
  <si>
    <t xml:space="preserve">Rua Jerônimo Coelho, 127</t>
  </si>
  <si>
    <t xml:space="preserve">Travessa Mário Cinco de Paus, 20</t>
  </si>
  <si>
    <t xml:space="preserve">Av. Antonio Duro, 1130, Olaria</t>
  </si>
  <si>
    <t xml:space="preserve">Av. Narciso Silva, 2220, Centro</t>
  </si>
  <si>
    <t xml:space="preserve">Av. 27 de Janeiro, 1556, Centro</t>
  </si>
  <si>
    <t xml:space="preserve">Rua General Bacelar, 97, Centro</t>
  </si>
  <si>
    <t xml:space="preserve">Rua João de Oliveira Rodrigues, 1797, Centro</t>
  </si>
  <si>
    <t xml:space="preserve">Rua Eng. Fernando Duprat da Silva, 607, Centro</t>
  </si>
  <si>
    <t xml:space="preserve">Rua Marechal Floriano, 2174, Centro</t>
  </si>
  <si>
    <t xml:space="preserve">Rua Getúlio Vargas / Sobreloja do BB</t>
  </si>
  <si>
    <t xml:space="preserve">Rua Almirante Barroso, 1883, Centro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</si>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</sst>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_);[RED]\(#,##0.00\)"/>
    <numFmt numFmtId="173" formatCode="#,##0.00\ ;[RED]\(#,##0.00\)"/>
    <numFmt numFmtId="174" formatCode="0.00%"/>
    <numFmt numFmtId="175" formatCode="#,##0.0"/>
    <numFmt numFmtId="176" formatCode="#,##0"/>
    <numFmt numFmtId="177" formatCode="_-* #,##0.00_-;\-* #,##0.00_-;_-* \-??_-;_-@_-"/>
    <numFmt numFmtId="178" formatCode="0"/>
    <numFmt numFmtId="179" formatCode="@"/>
    <numFmt numFmtId="180" formatCode="mm/yy"/>
    <numFmt numFmtId="181" formatCode="&quot;R$ &quot;#,##0.00"/>
    <numFmt numFmtId="182" formatCode="d/m/yyyy"/>
    <numFmt numFmtId="183" formatCode="&quot;R$ &quot;#,##0.00;[RED]&quot;-R$ &quot;#,##0.00"/>
  </numFmts>
  <fonts count="31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color rgb="FF000000"/>
      <name val="Arial"/>
      <family val="0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2"/>
      <name val="Arial"/>
      <family val="2"/>
      <charset val="1"/>
    </font>
    <font>
      <sz val="10"/>
      <color rgb="FF000000"/>
      <name val="Arial;Arial"/>
      <family val="2"/>
      <charset val="1"/>
    </font>
    <font>
      <sz val="12"/>
      <color rgb="FF000000"/>
      <name val="Arial"/>
      <family val="2"/>
      <charset val="1"/>
    </font>
    <font>
      <sz val="11"/>
      <color rgb="FFFF0000"/>
      <name val="Arial"/>
      <family val="2"/>
      <charset val="1"/>
    </font>
    <font>
      <b val="true"/>
      <sz val="13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8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2" tint="-0.15"/>
        <bgColor rgb="FFC9C9C9"/>
      </patternFill>
    </fill>
    <fill>
      <patternFill patternType="solid">
        <fgColor theme="6" tint="0.3998"/>
        <bgColor rgb="FFC5C3C3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1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4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3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4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13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3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9" fontId="13" fillId="0" borderId="2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2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1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0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81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4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1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9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2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1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1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4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20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2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0" fillId="0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1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7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8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3" fillId="4" borderId="1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4" fontId="13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4" fontId="13" fillId="4" borderId="1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3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4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C3C3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C9C9C9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21" Type="http://schemas.openxmlformats.org/officeDocument/2006/relationships/customXml" Target="../customXml/item6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customXml" Target="../customXml/item5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>
      <xdr:nvSpPr>
        <xdr:cNvPr id="0" name="CustomShape 1"/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21</xdr:row>
      <xdr:rowOff>20880</xdr:rowOff>
    </xdr:from>
    <xdr:to>
      <xdr:col>2</xdr:col>
      <xdr:colOff>2772720</xdr:colOff>
      <xdr:row>21</xdr:row>
      <xdr:rowOff>821160</xdr:rowOff>
    </xdr:to>
    <xdr:pic>
      <xdr:nvPicPr>
        <xdr:cNvPr id="2" name="Figura 1" descr=""/>
        <xdr:cNvPicPr/>
      </xdr:nvPicPr>
      <xdr:blipFill>
        <a:blip r:embed="rId1"/>
        <a:srcRect l="7851" t="45769" r="13913" b="37680"/>
        <a:stretch/>
      </xdr:blipFill>
      <xdr:spPr>
        <a:xfrm>
          <a:off x="435600" y="4021560"/>
          <a:ext cx="6433560" cy="800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142560</xdr:colOff>
      <xdr:row>25</xdr:row>
      <xdr:rowOff>61560</xdr:rowOff>
    </xdr:from>
    <xdr:to>
      <xdr:col>2</xdr:col>
      <xdr:colOff>2702520</xdr:colOff>
      <xdr:row>29</xdr:row>
      <xdr:rowOff>42480</xdr:rowOff>
    </xdr:to>
    <xdr:pic>
      <xdr:nvPicPr>
        <xdr:cNvPr id="3" name="Figura 2" descr=""/>
        <xdr:cNvPicPr/>
      </xdr:nvPicPr>
      <xdr:blipFill>
        <a:blip r:embed="rId2"/>
        <a:srcRect l="17758" t="51097" r="20982" b="38294"/>
        <a:stretch/>
      </xdr:blipFill>
      <xdr:spPr>
        <a:xfrm>
          <a:off x="578160" y="6195600"/>
          <a:ext cx="6220800" cy="628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E16" activeCellId="0" sqref="E1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10" t="s">
        <v>9</v>
      </c>
    </row>
    <row r="11" customFormat="false" ht="81" hidden="false" customHeight="true" outlineLevel="0" collapsed="false">
      <c r="B11" s="11" t="n">
        <v>3</v>
      </c>
      <c r="C11" s="12" t="s">
        <v>10</v>
      </c>
      <c r="D11" s="13" t="s">
        <v>11</v>
      </c>
      <c r="E11" s="13" t="n">
        <v>24</v>
      </c>
      <c r="F11" s="14" t="n">
        <f aca="false">ROUND(Resumo!D7+Resumo!F7,2)</f>
        <v>125780.75</v>
      </c>
      <c r="G11" s="15" t="n">
        <f aca="false">F11*E11</f>
        <v>3018738</v>
      </c>
    </row>
    <row r="12" customFormat="false" ht="42" hidden="false" customHeight="true" outlineLevel="0" collapsed="false">
      <c r="B12" s="16" t="s">
        <v>12</v>
      </c>
      <c r="C12" s="16"/>
      <c r="D12" s="16"/>
      <c r="E12" s="16"/>
      <c r="F12" s="16"/>
      <c r="G12" s="16"/>
    </row>
    <row r="14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0"/>
  <sheetViews>
    <sheetView showFormulas="false" showGridLines="true" showRowColHeaders="true" showZeros="true" rightToLeft="false" tabSelected="false" showOutlineSymbols="true" defaultGridColor="true" view="normal" topLeftCell="A4" colorId="64" zoomScale="110" zoomScaleNormal="110" zoomScalePageLayoutView="100" workbookViewId="0">
      <selection pane="topLeft" activeCell="G19" activeCellId="0" sqref="G19"/>
    </sheetView>
  </sheetViews>
  <sheetFormatPr defaultColWidth="8.125" defaultRowHeight="12.75" zeroHeight="false" outlineLevelRow="0" outlineLevelCol="0"/>
  <cols>
    <col collapsed="false" customWidth="true" hidden="false" outlineLevel="0" max="1" min="1" style="185" width="5"/>
    <col collapsed="false" customWidth="true" hidden="false" outlineLevel="0" max="2" min="2" style="185" width="2.88"/>
    <col collapsed="false" customWidth="true" hidden="false" outlineLevel="0" max="3" min="3" style="185" width="11.75"/>
    <col collapsed="false" customWidth="true" hidden="false" outlineLevel="0" max="4" min="4" style="185" width="57.75"/>
    <col collapsed="false" customWidth="true" hidden="false" outlineLevel="0" max="5" min="5" style="185" width="28.88"/>
    <col collapsed="false" customWidth="true" hidden="false" outlineLevel="0" max="6" min="6" style="185" width="9.62"/>
    <col collapsed="false" customWidth="true" hidden="false" outlineLevel="0" max="7" min="7" style="185" width="13.25"/>
    <col collapsed="false" customWidth="true" hidden="false" outlineLevel="0" max="8" min="8" style="185" width="11.5"/>
    <col collapsed="false" customWidth="true" hidden="false" outlineLevel="0" max="9" min="9" style="185" width="13.5"/>
    <col collapsed="false" customWidth="true" hidden="false" outlineLevel="0" max="1026" min="10" style="185" width="8.25"/>
    <col collapsed="false" customWidth="false" hidden="false" outlineLevel="0" max="16384" min="1027" style="185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6" t="s">
        <v>194</v>
      </c>
      <c r="C2" s="186"/>
      <c r="D2" s="186"/>
      <c r="E2" s="186"/>
      <c r="F2" s="186"/>
      <c r="G2" s="186"/>
      <c r="H2" s="186"/>
      <c r="I2" s="186"/>
    </row>
    <row r="3" customFormat="false" ht="19.5" hidden="false" customHeight="true" outlineLevel="0" collapsed="false"/>
    <row r="4" customFormat="false" ht="16.5" hidden="false" customHeight="true" outlineLevel="0" collapsed="false">
      <c r="B4" s="187" t="s">
        <v>195</v>
      </c>
      <c r="C4" s="187"/>
      <c r="D4" s="187"/>
      <c r="E4" s="187"/>
      <c r="F4" s="187"/>
      <c r="G4" s="187"/>
      <c r="H4" s="187"/>
      <c r="I4" s="187"/>
    </row>
    <row r="5" customFormat="false" ht="16.5" hidden="false" customHeight="true" outlineLevel="0" collapsed="false">
      <c r="B5" s="188" t="s">
        <v>151</v>
      </c>
      <c r="C5" s="188"/>
      <c r="D5" s="189" t="n">
        <v>91677</v>
      </c>
      <c r="E5" s="189"/>
      <c r="F5" s="189"/>
      <c r="G5" s="189"/>
      <c r="H5" s="189"/>
      <c r="I5" s="189"/>
    </row>
    <row r="6" customFormat="false" ht="16.5" hidden="false" customHeight="true" outlineLevel="0" collapsed="false">
      <c r="B6" s="188" t="s">
        <v>122</v>
      </c>
      <c r="C6" s="188"/>
      <c r="D6" s="189" t="s">
        <v>196</v>
      </c>
      <c r="E6" s="189"/>
      <c r="F6" s="189"/>
      <c r="G6" s="189"/>
      <c r="H6" s="189"/>
      <c r="I6" s="189"/>
    </row>
    <row r="7" customFormat="false" ht="16.5" hidden="false" customHeight="true" outlineLevel="0" collapsed="false">
      <c r="B7" s="188" t="s">
        <v>154</v>
      </c>
      <c r="C7" s="188"/>
      <c r="D7" s="190" t="s">
        <v>155</v>
      </c>
      <c r="E7" s="190"/>
      <c r="F7" s="190"/>
      <c r="G7" s="190"/>
      <c r="H7" s="190"/>
      <c r="I7" s="190"/>
    </row>
    <row r="8" customFormat="false" ht="16.5" hidden="false" customHeight="true" outlineLevel="0" collapsed="false">
      <c r="B8" s="188" t="s">
        <v>156</v>
      </c>
      <c r="C8" s="188"/>
      <c r="D8" s="189" t="s">
        <v>179</v>
      </c>
      <c r="E8" s="189"/>
      <c r="F8" s="189"/>
      <c r="G8" s="189"/>
      <c r="H8" s="189"/>
      <c r="I8" s="189"/>
    </row>
    <row r="9" customFormat="false" ht="16.5" hidden="false" customHeight="true" outlineLevel="0" collapsed="false">
      <c r="B9" s="188" t="s">
        <v>158</v>
      </c>
      <c r="C9" s="188"/>
      <c r="D9" s="189" t="s">
        <v>197</v>
      </c>
      <c r="E9" s="189"/>
      <c r="F9" s="189"/>
      <c r="G9" s="189"/>
      <c r="H9" s="189"/>
      <c r="I9" s="189"/>
    </row>
    <row r="10" customFormat="false" ht="16.5" hidden="false" customHeight="true" outlineLevel="0" collapsed="false">
      <c r="B10" s="188" t="s">
        <v>123</v>
      </c>
      <c r="C10" s="188"/>
      <c r="D10" s="189" t="s">
        <v>166</v>
      </c>
      <c r="E10" s="189"/>
      <c r="F10" s="189"/>
      <c r="G10" s="189"/>
      <c r="H10" s="189"/>
      <c r="I10" s="189"/>
    </row>
    <row r="11" customFormat="false" ht="23.25" hidden="false" customHeight="true" outlineLevel="0" collapsed="false">
      <c r="B11" s="191" t="s">
        <v>160</v>
      </c>
      <c r="C11" s="191"/>
      <c r="D11" s="192" t="n">
        <f aca="false">SUM(I14:I19)</f>
        <v>171.776832</v>
      </c>
      <c r="E11" s="192"/>
      <c r="F11" s="192"/>
      <c r="G11" s="192"/>
      <c r="H11" s="192"/>
      <c r="I11" s="192"/>
    </row>
    <row r="12" customFormat="false" ht="15.75" hidden="false" customHeight="true" outlineLevel="0" collapsed="false">
      <c r="B12" s="193"/>
      <c r="C12" s="193"/>
      <c r="D12" s="194"/>
      <c r="E12" s="194"/>
      <c r="F12" s="194"/>
      <c r="G12" s="194"/>
      <c r="H12" s="194"/>
      <c r="I12" s="194"/>
    </row>
    <row r="13" customFormat="false" ht="45" hidden="false" customHeight="false" outlineLevel="0" collapsed="false">
      <c r="B13" s="167"/>
      <c r="C13" s="167" t="s">
        <v>161</v>
      </c>
      <c r="D13" s="167" t="s">
        <v>122</v>
      </c>
      <c r="E13" s="167" t="s">
        <v>158</v>
      </c>
      <c r="F13" s="167" t="s">
        <v>123</v>
      </c>
      <c r="G13" s="167" t="s">
        <v>178</v>
      </c>
      <c r="H13" s="160" t="s">
        <v>162</v>
      </c>
      <c r="I13" s="160" t="s">
        <v>160</v>
      </c>
    </row>
    <row r="14" customFormat="false" ht="19.5" hidden="false" customHeight="true" outlineLevel="0" collapsed="false">
      <c r="B14" s="195" t="s">
        <v>198</v>
      </c>
      <c r="C14" s="161" t="s">
        <v>199</v>
      </c>
      <c r="D14" s="161" t="s">
        <v>200</v>
      </c>
      <c r="E14" s="161" t="s">
        <v>201</v>
      </c>
      <c r="F14" s="161" t="s">
        <v>166</v>
      </c>
      <c r="G14" s="196" t="n">
        <v>2.45</v>
      </c>
      <c r="H14" s="197" t="n">
        <v>1</v>
      </c>
      <c r="I14" s="198" t="n">
        <f aca="false">G14*H14</f>
        <v>2.45</v>
      </c>
      <c r="J14" s="199"/>
      <c r="K14" s="199"/>
    </row>
    <row r="15" customFormat="false" ht="19.5" hidden="false" customHeight="true" outlineLevel="0" collapsed="false">
      <c r="B15" s="195" t="s">
        <v>198</v>
      </c>
      <c r="C15" s="195" t="s">
        <v>202</v>
      </c>
      <c r="D15" s="195" t="s">
        <v>181</v>
      </c>
      <c r="E15" s="195" t="s">
        <v>203</v>
      </c>
      <c r="F15" s="195" t="s">
        <v>166</v>
      </c>
      <c r="G15" s="197" t="n">
        <f aca="false">'Custo Eng. Eletricista'!C14</f>
        <v>167.036832</v>
      </c>
      <c r="H15" s="197" t="n">
        <v>1</v>
      </c>
      <c r="I15" s="198" t="n">
        <f aca="false">G15*H15</f>
        <v>167.036832</v>
      </c>
      <c r="J15" s="199"/>
      <c r="K15" s="199"/>
    </row>
    <row r="16" customFormat="false" ht="30" hidden="false" customHeight="true" outlineLevel="0" collapsed="false">
      <c r="B16" s="195" t="s">
        <v>198</v>
      </c>
      <c r="C16" s="195" t="s">
        <v>204</v>
      </c>
      <c r="D16" s="195" t="s">
        <v>205</v>
      </c>
      <c r="E16" s="195" t="s">
        <v>206</v>
      </c>
      <c r="F16" s="195" t="s">
        <v>166</v>
      </c>
      <c r="G16" s="197" t="n">
        <v>1.43</v>
      </c>
      <c r="H16" s="197" t="n">
        <v>1</v>
      </c>
      <c r="I16" s="198" t="n">
        <f aca="false">G16*H16</f>
        <v>1.43</v>
      </c>
      <c r="J16" s="199"/>
      <c r="K16" s="199"/>
    </row>
    <row r="17" customFormat="false" ht="30" hidden="false" customHeight="true" outlineLevel="0" collapsed="false">
      <c r="B17" s="195" t="s">
        <v>198</v>
      </c>
      <c r="C17" s="195" t="s">
        <v>207</v>
      </c>
      <c r="D17" s="195" t="s">
        <v>208</v>
      </c>
      <c r="E17" s="195" t="s">
        <v>209</v>
      </c>
      <c r="F17" s="195" t="s">
        <v>166</v>
      </c>
      <c r="G17" s="197" t="n">
        <v>0.08</v>
      </c>
      <c r="H17" s="197" t="n">
        <v>1</v>
      </c>
      <c r="I17" s="198" t="n">
        <f aca="false">G17*H17</f>
        <v>0.08</v>
      </c>
      <c r="J17" s="199"/>
      <c r="K17" s="199"/>
    </row>
    <row r="18" customFormat="false" ht="30" hidden="false" customHeight="true" outlineLevel="0" collapsed="false">
      <c r="B18" s="195" t="s">
        <v>198</v>
      </c>
      <c r="C18" s="195" t="s">
        <v>210</v>
      </c>
      <c r="D18" s="195" t="s">
        <v>211</v>
      </c>
      <c r="E18" s="195" t="s">
        <v>212</v>
      </c>
      <c r="F18" s="195" t="s">
        <v>166</v>
      </c>
      <c r="G18" s="197" t="n">
        <v>0.01</v>
      </c>
      <c r="H18" s="197" t="n">
        <v>1</v>
      </c>
      <c r="I18" s="198" t="n">
        <f aca="false">G18*H18</f>
        <v>0.01</v>
      </c>
      <c r="J18" s="199"/>
      <c r="K18" s="199"/>
    </row>
    <row r="19" customFormat="false" ht="30" hidden="false" customHeight="true" outlineLevel="0" collapsed="false">
      <c r="B19" s="195" t="s">
        <v>198</v>
      </c>
      <c r="C19" s="195" t="s">
        <v>213</v>
      </c>
      <c r="D19" s="195" t="s">
        <v>214</v>
      </c>
      <c r="E19" s="195" t="s">
        <v>212</v>
      </c>
      <c r="F19" s="195" t="s">
        <v>166</v>
      </c>
      <c r="G19" s="197" t="n">
        <v>0.77</v>
      </c>
      <c r="H19" s="197" t="n">
        <v>1</v>
      </c>
      <c r="I19" s="198" t="n">
        <f aca="false">G19*H19</f>
        <v>0.77</v>
      </c>
      <c r="J19" s="199"/>
      <c r="K19" s="199"/>
    </row>
    <row r="20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23" activeCellId="0" sqref="B23"/>
    </sheetView>
  </sheetViews>
  <sheetFormatPr defaultColWidth="10.125" defaultRowHeight="12.75" zeroHeight="false" outlineLevelRow="0" outlineLevelCol="0"/>
  <cols>
    <col collapsed="false" customWidth="true" hidden="false" outlineLevel="0" max="1" min="1" style="168" width="5.62"/>
    <col collapsed="false" customWidth="true" hidden="false" outlineLevel="0" max="2" min="2" style="168" width="47.25"/>
    <col collapsed="false" customWidth="true" hidden="false" outlineLevel="0" max="3" min="3" style="168" width="37.12"/>
    <col collapsed="false" customWidth="true" hidden="false" outlineLevel="0" max="4" min="4" style="168" width="29.88"/>
    <col collapsed="false" customWidth="true" hidden="false" outlineLevel="0" max="5" min="5" style="168" width="14.25"/>
    <col collapsed="false" customWidth="false" hidden="false" outlineLevel="0" max="16384" min="6" style="168" width="10.12"/>
  </cols>
  <sheetData>
    <row r="1" customFormat="false" ht="15" hidden="false" customHeight="true" outlineLevel="0" collapsed="false"/>
    <row r="2" customFormat="false" ht="12.75" hidden="false" customHeight="false" outlineLevel="0" collapsed="false">
      <c r="C2" s="200" t="s">
        <v>179</v>
      </c>
    </row>
    <row r="3" customFormat="false" ht="12.75" hidden="false" customHeight="false" outlineLevel="0" collapsed="false">
      <c r="B3" s="170" t="s">
        <v>215</v>
      </c>
      <c r="C3" s="200" t="s">
        <v>216</v>
      </c>
    </row>
    <row r="4" customFormat="false" ht="15" hidden="false" customHeight="false" outlineLevel="0" collapsed="false">
      <c r="B4" s="170" t="s">
        <v>217</v>
      </c>
      <c r="C4" s="201" t="s">
        <v>218</v>
      </c>
    </row>
    <row r="5" customFormat="false" ht="14.25" hidden="false" customHeight="false" outlineLevel="0" collapsed="false">
      <c r="B5" s="170" t="s">
        <v>184</v>
      </c>
      <c r="C5" s="201" t="n">
        <v>45444</v>
      </c>
    </row>
    <row r="6" customFormat="false" ht="25.5" hidden="false" customHeight="false" outlineLevel="0" collapsed="false">
      <c r="B6" s="170" t="s">
        <v>219</v>
      </c>
      <c r="C6" s="171" t="s">
        <v>220</v>
      </c>
    </row>
    <row r="7" customFormat="false" ht="12.75" hidden="false" customHeight="false" outlineLevel="0" collapsed="false">
      <c r="B7" s="170" t="s">
        <v>221</v>
      </c>
      <c r="C7" s="172" t="n">
        <v>2228.6</v>
      </c>
    </row>
    <row r="8" customFormat="false" ht="12.75" hidden="false" customHeight="false" outlineLevel="0" collapsed="false">
      <c r="B8" s="202"/>
      <c r="C8" s="203"/>
    </row>
    <row r="9" customFormat="false" ht="25.5" hidden="false" customHeight="false" outlineLevel="0" collapsed="false">
      <c r="B9" s="175" t="s">
        <v>222</v>
      </c>
      <c r="C9" s="170"/>
    </row>
    <row r="10" customFormat="false" ht="13.5" hidden="false" customHeight="false" outlineLevel="0" collapsed="false">
      <c r="B10" s="170" t="s">
        <v>188</v>
      </c>
      <c r="C10" s="177" t="n">
        <v>0.9022</v>
      </c>
    </row>
    <row r="11" customFormat="false" ht="13.5" hidden="false" customHeight="false" outlineLevel="0" collapsed="false">
      <c r="B11" s="170" t="s">
        <v>223</v>
      </c>
      <c r="C11" s="177" t="n">
        <v>0.5186</v>
      </c>
    </row>
    <row r="12" customFormat="false" ht="13.5" hidden="false" customHeight="false" outlineLevel="0" collapsed="false">
      <c r="B12" s="170" t="s">
        <v>189</v>
      </c>
      <c r="C12" s="177" t="n">
        <v>1.1284</v>
      </c>
    </row>
    <row r="13" customFormat="false" ht="13.5" hidden="false" customHeight="false" outlineLevel="0" collapsed="false">
      <c r="B13" s="170" t="s">
        <v>224</v>
      </c>
      <c r="C13" s="177" t="n">
        <v>0.6995</v>
      </c>
    </row>
    <row r="14" customFormat="false" ht="13.5" hidden="false" customHeight="true" outlineLevel="0" collapsed="false">
      <c r="B14" s="202"/>
      <c r="C14" s="202"/>
    </row>
    <row r="15" customFormat="false" ht="12.75" hidden="false" customHeight="false" outlineLevel="0" collapsed="false">
      <c r="B15" s="178" t="s">
        <v>225</v>
      </c>
      <c r="C15" s="179"/>
    </row>
    <row r="16" customFormat="false" ht="15.75" hidden="false" customHeight="false" outlineLevel="0" collapsed="false">
      <c r="B16" s="180" t="s">
        <v>226</v>
      </c>
      <c r="C16" s="179" t="n">
        <f aca="false">C7*(1+C11)</f>
        <v>3384.35196</v>
      </c>
      <c r="D16" s="204"/>
      <c r="E16" s="204"/>
    </row>
    <row r="17" customFormat="false" ht="15.75" hidden="false" customHeight="false" outlineLevel="0" collapsed="false">
      <c r="B17" s="180" t="s">
        <v>227</v>
      </c>
      <c r="C17" s="179" t="n">
        <f aca="false">C7*(1+C13)</f>
        <v>3787.5057</v>
      </c>
      <c r="D17" s="204"/>
      <c r="E17" s="204"/>
    </row>
    <row r="18" customFormat="false" ht="15.75" hidden="false" customHeight="false" outlineLevel="0" collapsed="false">
      <c r="B18" s="180" t="s">
        <v>228</v>
      </c>
      <c r="C18" s="205" t="n">
        <f aca="false">C16*(1+C10)/(220*(1+C11))</f>
        <v>19.269286</v>
      </c>
      <c r="D18" s="206"/>
      <c r="E18" s="204"/>
    </row>
    <row r="19" customFormat="false" ht="15.75" hidden="false" customHeight="false" outlineLevel="0" collapsed="false">
      <c r="B19" s="180" t="s">
        <v>229</v>
      </c>
      <c r="C19" s="205" t="n">
        <f aca="false">(C17*(1+C12)/(220*(1+C13)))</f>
        <v>21.560692</v>
      </c>
      <c r="D19" s="206"/>
      <c r="E19" s="204"/>
    </row>
    <row r="21" customFormat="false" ht="12.75" hidden="false" customHeight="false" outlineLevel="0" collapsed="false">
      <c r="B21" s="168" t="s">
        <v>230</v>
      </c>
    </row>
    <row r="22" customFormat="false" ht="69.75" hidden="false" customHeight="true" outlineLevel="0" collapsed="false"/>
    <row r="23" customFormat="false" ht="34.5" hidden="false" customHeight="true" outlineLevel="0" collapsed="false">
      <c r="B23" s="184" t="s">
        <v>193</v>
      </c>
      <c r="C23" s="184"/>
    </row>
    <row r="24" customFormat="false" ht="33.75" hidden="false" customHeight="true" outlineLevel="0" collapsed="false">
      <c r="B24" s="184" t="s">
        <v>231</v>
      </c>
      <c r="C24" s="184"/>
    </row>
    <row r="25" customFormat="false" ht="30" hidden="false" customHeight="true" outlineLevel="0" collapsed="false">
      <c r="B25" s="184" t="s">
        <v>232</v>
      </c>
      <c r="C25" s="184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true" showRowColHeaders="true" showZeros="true" rightToLeft="false" tabSelected="false" showOutlineSymbols="true" defaultGridColor="true" view="normal" topLeftCell="A7" colorId="64" zoomScale="110" zoomScaleNormal="110" zoomScalePageLayoutView="100" workbookViewId="0">
      <selection pane="topLeft" activeCell="G16" activeCellId="0" sqref="G16"/>
    </sheetView>
  </sheetViews>
  <sheetFormatPr defaultColWidth="8.125" defaultRowHeight="12.75" zeroHeight="false" outlineLevelRow="0" outlineLevelCol="0"/>
  <cols>
    <col collapsed="false" customWidth="true" hidden="false" outlineLevel="0" max="1" min="1" style="185" width="5.62"/>
    <col collapsed="false" customWidth="true" hidden="false" outlineLevel="0" max="2" min="2" style="185" width="2.88"/>
    <col collapsed="false" customWidth="true" hidden="false" outlineLevel="0" max="3" min="3" style="185" width="11.75"/>
    <col collapsed="false" customWidth="true" hidden="false" outlineLevel="0" max="4" min="4" style="185" width="57.75"/>
    <col collapsed="false" customWidth="true" hidden="false" outlineLevel="0" max="5" min="5" style="185" width="28.88"/>
    <col collapsed="false" customWidth="true" hidden="false" outlineLevel="0" max="6" min="6" style="185" width="9.62"/>
    <col collapsed="false" customWidth="true" hidden="false" outlineLevel="0" max="7" min="7" style="185" width="13.25"/>
    <col collapsed="false" customWidth="true" hidden="false" outlineLevel="0" max="8" min="8" style="185" width="11.5"/>
    <col collapsed="false" customWidth="true" hidden="false" outlineLevel="0" max="9" min="9" style="185" width="13.5"/>
    <col collapsed="false" customWidth="true" hidden="false" outlineLevel="0" max="1026" min="10" style="185" width="8.25"/>
    <col collapsed="false" customWidth="false" hidden="false" outlineLevel="0" max="16384" min="1027" style="185" width="8.1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6" t="s">
        <v>233</v>
      </c>
      <c r="C2" s="186"/>
      <c r="D2" s="186"/>
      <c r="E2" s="186"/>
      <c r="F2" s="186"/>
      <c r="G2" s="186"/>
      <c r="H2" s="186"/>
      <c r="I2" s="186"/>
    </row>
    <row r="3" customFormat="false" ht="21" hidden="false" customHeight="true" outlineLevel="0" collapsed="false"/>
    <row r="4" customFormat="false" ht="16.5" hidden="false" customHeight="true" outlineLevel="0" collapsed="false">
      <c r="B4" s="187" t="s">
        <v>234</v>
      </c>
      <c r="C4" s="187"/>
      <c r="D4" s="187"/>
      <c r="E4" s="187"/>
      <c r="F4" s="187"/>
      <c r="G4" s="187"/>
      <c r="H4" s="187"/>
      <c r="I4" s="187"/>
    </row>
    <row r="5" customFormat="false" ht="16.5" hidden="false" customHeight="true" outlineLevel="0" collapsed="false">
      <c r="B5" s="188" t="s">
        <v>151</v>
      </c>
      <c r="C5" s="188"/>
      <c r="D5" s="189" t="n">
        <v>88264</v>
      </c>
      <c r="E5" s="189"/>
      <c r="F5" s="189"/>
      <c r="G5" s="189"/>
      <c r="H5" s="189"/>
      <c r="I5" s="189"/>
    </row>
    <row r="6" customFormat="false" ht="16.5" hidden="false" customHeight="true" outlineLevel="0" collapsed="false">
      <c r="B6" s="188" t="s">
        <v>122</v>
      </c>
      <c r="C6" s="188"/>
      <c r="D6" s="189" t="s">
        <v>235</v>
      </c>
      <c r="E6" s="189"/>
      <c r="F6" s="189"/>
      <c r="G6" s="189"/>
      <c r="H6" s="189"/>
      <c r="I6" s="189"/>
    </row>
    <row r="7" customFormat="false" ht="16.5" hidden="false" customHeight="true" outlineLevel="0" collapsed="false">
      <c r="B7" s="188" t="s">
        <v>154</v>
      </c>
      <c r="C7" s="188"/>
      <c r="D7" s="207" t="s">
        <v>155</v>
      </c>
      <c r="E7" s="207"/>
      <c r="F7" s="207"/>
      <c r="G7" s="207"/>
      <c r="H7" s="207"/>
      <c r="I7" s="207"/>
    </row>
    <row r="8" customFormat="false" ht="16.5" hidden="false" customHeight="true" outlineLevel="0" collapsed="false">
      <c r="B8" s="188" t="s">
        <v>156</v>
      </c>
      <c r="C8" s="188"/>
      <c r="D8" s="189" t="s">
        <v>179</v>
      </c>
      <c r="E8" s="189"/>
      <c r="F8" s="189"/>
      <c r="G8" s="189"/>
      <c r="H8" s="189"/>
      <c r="I8" s="189"/>
    </row>
    <row r="9" customFormat="false" ht="16.5" hidden="false" customHeight="true" outlineLevel="0" collapsed="false">
      <c r="B9" s="188" t="s">
        <v>158</v>
      </c>
      <c r="C9" s="188"/>
      <c r="D9" s="189" t="s">
        <v>197</v>
      </c>
      <c r="E9" s="189"/>
      <c r="F9" s="189"/>
      <c r="G9" s="189"/>
      <c r="H9" s="189"/>
      <c r="I9" s="189"/>
    </row>
    <row r="10" customFormat="false" ht="16.5" hidden="false" customHeight="true" outlineLevel="0" collapsed="false">
      <c r="B10" s="188" t="s">
        <v>123</v>
      </c>
      <c r="C10" s="188"/>
      <c r="D10" s="189" t="s">
        <v>166</v>
      </c>
      <c r="E10" s="189"/>
      <c r="F10" s="189"/>
      <c r="G10" s="189"/>
      <c r="H10" s="189"/>
      <c r="I10" s="189"/>
    </row>
    <row r="11" customFormat="false" ht="23.25" hidden="false" customHeight="true" outlineLevel="0" collapsed="false">
      <c r="B11" s="191" t="s">
        <v>160</v>
      </c>
      <c r="C11" s="191"/>
      <c r="D11" s="192" t="n">
        <f aca="false">SUM(I14:I22)</f>
        <v>28.820692</v>
      </c>
      <c r="E11" s="192"/>
      <c r="F11" s="192"/>
      <c r="G11" s="192"/>
      <c r="H11" s="192"/>
      <c r="I11" s="192"/>
    </row>
    <row r="12" customFormat="false" ht="15.75" hidden="false" customHeight="true" outlineLevel="0" collapsed="false">
      <c r="B12" s="193"/>
      <c r="C12" s="193"/>
      <c r="D12" s="194"/>
      <c r="E12" s="194"/>
      <c r="F12" s="194"/>
      <c r="G12" s="194"/>
      <c r="H12" s="194"/>
      <c r="I12" s="194"/>
    </row>
    <row r="13" customFormat="false" ht="45" hidden="false" customHeight="false" outlineLevel="0" collapsed="false">
      <c r="B13" s="167"/>
      <c r="C13" s="167" t="s">
        <v>161</v>
      </c>
      <c r="D13" s="167" t="s">
        <v>122</v>
      </c>
      <c r="E13" s="167" t="s">
        <v>158</v>
      </c>
      <c r="F13" s="167" t="s">
        <v>123</v>
      </c>
      <c r="G13" s="167" t="s">
        <v>178</v>
      </c>
      <c r="H13" s="167" t="s">
        <v>162</v>
      </c>
      <c r="I13" s="160" t="s">
        <v>160</v>
      </c>
    </row>
    <row r="14" customFormat="false" ht="27.75" hidden="false" customHeight="true" outlineLevel="0" collapsed="false">
      <c r="B14" s="195" t="s">
        <v>163</v>
      </c>
      <c r="C14" s="195" t="n">
        <v>95332</v>
      </c>
      <c r="D14" s="195" t="s">
        <v>236</v>
      </c>
      <c r="E14" s="195" t="s">
        <v>197</v>
      </c>
      <c r="F14" s="195" t="s">
        <v>166</v>
      </c>
      <c r="G14" s="208" t="n">
        <v>0.86</v>
      </c>
      <c r="H14" s="197" t="n">
        <v>1</v>
      </c>
      <c r="I14" s="198" t="n">
        <f aca="false">G14*H14</f>
        <v>0.86</v>
      </c>
      <c r="J14" s="199"/>
      <c r="K14" s="199"/>
    </row>
    <row r="15" customFormat="false" ht="32.25" hidden="false" customHeight="true" outlineLevel="0" collapsed="false">
      <c r="B15" s="195" t="s">
        <v>198</v>
      </c>
      <c r="C15" s="195" t="s">
        <v>237</v>
      </c>
      <c r="D15" s="195" t="s">
        <v>238</v>
      </c>
      <c r="E15" s="195" t="s">
        <v>203</v>
      </c>
      <c r="F15" s="195" t="s">
        <v>166</v>
      </c>
      <c r="G15" s="208" t="n">
        <f aca="false">'Custo Oficial de Manutenção'!C19</f>
        <v>21.560692</v>
      </c>
      <c r="H15" s="197" t="n">
        <v>1</v>
      </c>
      <c r="I15" s="198" t="n">
        <f aca="false">G15*H15</f>
        <v>21.560692</v>
      </c>
      <c r="J15" s="199"/>
      <c r="K15" s="199"/>
    </row>
    <row r="16" customFormat="false" ht="42" hidden="false" customHeight="true" outlineLevel="0" collapsed="false">
      <c r="B16" s="195" t="s">
        <v>198</v>
      </c>
      <c r="C16" s="195" t="n">
        <v>37370</v>
      </c>
      <c r="D16" s="195" t="s">
        <v>239</v>
      </c>
      <c r="E16" s="195" t="s">
        <v>206</v>
      </c>
      <c r="F16" s="195" t="s">
        <v>166</v>
      </c>
      <c r="G16" s="208" t="n">
        <v>1.46</v>
      </c>
      <c r="H16" s="197" t="n">
        <v>1</v>
      </c>
      <c r="I16" s="198" t="n">
        <f aca="false">G16*H16</f>
        <v>1.46</v>
      </c>
      <c r="J16" s="199"/>
      <c r="K16" s="199"/>
    </row>
    <row r="17" customFormat="false" ht="27.75" hidden="false" customHeight="true" outlineLevel="0" collapsed="false">
      <c r="B17" s="195" t="s">
        <v>198</v>
      </c>
      <c r="C17" s="195" t="n">
        <v>37371</v>
      </c>
      <c r="D17" s="195" t="s">
        <v>240</v>
      </c>
      <c r="E17" s="195" t="s">
        <v>241</v>
      </c>
      <c r="F17" s="195" t="s">
        <v>166</v>
      </c>
      <c r="G17" s="208" t="n">
        <v>1</v>
      </c>
      <c r="H17" s="197" t="n">
        <v>1</v>
      </c>
      <c r="I17" s="198" t="n">
        <f aca="false">G17*H17</f>
        <v>1</v>
      </c>
      <c r="J17" s="199"/>
      <c r="K17" s="199"/>
    </row>
    <row r="18" customFormat="false" ht="42" hidden="false" customHeight="true" outlineLevel="0" collapsed="false">
      <c r="B18" s="195" t="s">
        <v>198</v>
      </c>
      <c r="C18" s="195" t="n">
        <v>37372</v>
      </c>
      <c r="D18" s="195" t="s">
        <v>205</v>
      </c>
      <c r="E18" s="195" t="s">
        <v>206</v>
      </c>
      <c r="F18" s="195" t="s">
        <v>166</v>
      </c>
      <c r="G18" s="208" t="n">
        <v>1.43</v>
      </c>
      <c r="H18" s="197" t="n">
        <v>1</v>
      </c>
      <c r="I18" s="198" t="n">
        <f aca="false">G18*H18</f>
        <v>1.43</v>
      </c>
      <c r="J18" s="199"/>
      <c r="K18" s="199"/>
    </row>
    <row r="19" customFormat="false" ht="27.75" hidden="false" customHeight="true" outlineLevel="0" collapsed="false">
      <c r="B19" s="195" t="s">
        <v>198</v>
      </c>
      <c r="C19" s="195" t="n">
        <v>37373</v>
      </c>
      <c r="D19" s="195" t="s">
        <v>208</v>
      </c>
      <c r="E19" s="195" t="s">
        <v>209</v>
      </c>
      <c r="F19" s="195" t="s">
        <v>166</v>
      </c>
      <c r="G19" s="208" t="n">
        <v>0.08</v>
      </c>
      <c r="H19" s="197" t="n">
        <v>1</v>
      </c>
      <c r="I19" s="198" t="n">
        <f aca="false">G19*H19</f>
        <v>0.08</v>
      </c>
      <c r="J19" s="199"/>
      <c r="K19" s="199"/>
    </row>
    <row r="20" customFormat="false" ht="27.75" hidden="false" customHeight="true" outlineLevel="0" collapsed="false">
      <c r="B20" s="195" t="s">
        <v>198</v>
      </c>
      <c r="C20" s="195" t="n">
        <v>43460</v>
      </c>
      <c r="D20" s="195" t="s">
        <v>242</v>
      </c>
      <c r="E20" s="195" t="s">
        <v>212</v>
      </c>
      <c r="F20" s="195" t="s">
        <v>166</v>
      </c>
      <c r="G20" s="208" t="n">
        <v>0.86</v>
      </c>
      <c r="H20" s="197" t="n">
        <v>1</v>
      </c>
      <c r="I20" s="198" t="n">
        <f aca="false">G20*H20</f>
        <v>0.86</v>
      </c>
      <c r="J20" s="199"/>
      <c r="K20" s="199"/>
    </row>
    <row r="21" customFormat="false" ht="29.25" hidden="false" customHeight="true" outlineLevel="0" collapsed="false">
      <c r="B21" s="209" t="s">
        <v>198</v>
      </c>
      <c r="C21" s="209" t="n">
        <v>43461</v>
      </c>
      <c r="D21" s="209" t="s">
        <v>243</v>
      </c>
      <c r="E21" s="209" t="s">
        <v>212</v>
      </c>
      <c r="F21" s="209" t="s">
        <v>166</v>
      </c>
      <c r="G21" s="210" t="n">
        <v>0.31</v>
      </c>
      <c r="H21" s="211" t="n">
        <v>1</v>
      </c>
      <c r="I21" s="212" t="n">
        <f aca="false">G21*H21</f>
        <v>0.31</v>
      </c>
      <c r="J21" s="199"/>
      <c r="K21" s="199"/>
    </row>
    <row r="22" customFormat="false" ht="27.75" hidden="false" customHeight="true" outlineLevel="0" collapsed="false">
      <c r="B22" s="195" t="s">
        <v>198</v>
      </c>
      <c r="C22" s="195" t="n">
        <v>43484</v>
      </c>
      <c r="D22" s="195" t="s">
        <v>244</v>
      </c>
      <c r="E22" s="195" t="s">
        <v>212</v>
      </c>
      <c r="F22" s="195" t="s">
        <v>166</v>
      </c>
      <c r="G22" s="208" t="n">
        <v>1.26</v>
      </c>
      <c r="H22" s="197" t="n">
        <v>1</v>
      </c>
      <c r="I22" s="198" t="n">
        <f aca="false">G22*H22</f>
        <v>1.26</v>
      </c>
      <c r="J22" s="199"/>
      <c r="K22" s="199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Y27"/>
  <sheetViews>
    <sheetView showFormulas="false" showGridLines="false" showRowColHeaders="true" showZeros="true" rightToLeft="false" tabSelected="false" showOutlineSymbols="true" defaultGridColor="true" view="normal" topLeftCell="A2" colorId="64" zoomScale="100" zoomScaleNormal="100" zoomScalePageLayoutView="100" workbookViewId="0">
      <selection pane="topLeft" activeCell="K13" activeCellId="0" sqref="K13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15.5"/>
    <col collapsed="false" customWidth="true" hidden="false" outlineLevel="0" max="3" min="3" style="18" width="16.26"/>
    <col collapsed="false" customWidth="true" hidden="false" outlineLevel="0" max="4" min="4" style="17" width="31.88"/>
    <col collapsed="false" customWidth="true" hidden="false" outlineLevel="0" max="5" min="5" style="17" width="39.75"/>
    <col collapsed="false" customWidth="true" hidden="false" outlineLevel="0" max="6" min="6" style="18" width="15.26"/>
    <col collapsed="false" customWidth="true" hidden="false" outlineLevel="0" max="7" min="7" style="17" width="9"/>
    <col collapsed="false" customWidth="true" hidden="false" outlineLevel="0" max="8" min="8" style="17" width="9.12"/>
    <col collapsed="false" customWidth="true" hidden="false" outlineLevel="0" max="9" min="9" style="17" width="12"/>
    <col collapsed="false" customWidth="true" hidden="false" outlineLevel="0" max="11" min="10" style="17" width="11.25"/>
    <col collapsed="false" customWidth="true" hidden="false" outlineLevel="0" max="12" min="12" style="17" width="10.38"/>
    <col collapsed="false" customWidth="true" hidden="false" outlineLevel="0" max="13" min="13" style="17" width="10.5"/>
    <col collapsed="false" customWidth="true" hidden="false" outlineLevel="0" max="14" min="14" style="17" width="12.5"/>
    <col collapsed="false" customWidth="true" hidden="false" outlineLevel="0" max="259" min="15" style="17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13" customFormat="true" ht="29.25" hidden="false" customHeight="true" outlineLevel="0" collapsed="false">
      <c r="B2" s="214" t="str">
        <f aca="false">"RELAÇÃO DE UNIDADES DO "&amp;'Valor da Contratação'!B7&amp;""</f>
        <v>RELAÇÃO DE UNIDADES DO POLO VII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</row>
    <row r="3" s="17" customFormat="true" ht="15" hidden="false" customHeight="true" outlineLevel="0" collapsed="false"/>
    <row r="4" customFormat="false" ht="66.75" hidden="false" customHeight="true" outlineLevel="0" collapsed="false">
      <c r="B4" s="33" t="s">
        <v>245</v>
      </c>
      <c r="C4" s="33" t="s">
        <v>13</v>
      </c>
      <c r="D4" s="33" t="s">
        <v>41</v>
      </c>
      <c r="E4" s="33" t="s">
        <v>246</v>
      </c>
      <c r="F4" s="33" t="s">
        <v>247</v>
      </c>
      <c r="G4" s="33" t="s">
        <v>248</v>
      </c>
      <c r="H4" s="33" t="s">
        <v>71</v>
      </c>
      <c r="I4" s="33" t="s">
        <v>249</v>
      </c>
      <c r="J4" s="33" t="s">
        <v>250</v>
      </c>
      <c r="K4" s="33" t="s">
        <v>251</v>
      </c>
      <c r="L4" s="33" t="s">
        <v>252</v>
      </c>
      <c r="M4" s="33" t="s">
        <v>253</v>
      </c>
      <c r="N4" s="33" t="s">
        <v>254</v>
      </c>
    </row>
    <row r="5" s="215" customFormat="true" ht="18" hidden="false" customHeight="true" outlineLevel="0" collapsed="false">
      <c r="B5" s="216" t="s">
        <v>255</v>
      </c>
      <c r="C5" s="216" t="s">
        <v>21</v>
      </c>
      <c r="D5" s="217" t="s">
        <v>83</v>
      </c>
      <c r="E5" s="218" t="s">
        <v>256</v>
      </c>
      <c r="F5" s="219" t="n">
        <v>0.98</v>
      </c>
      <c r="G5" s="220" t="n">
        <v>0.03</v>
      </c>
      <c r="H5" s="220" t="n">
        <f aca="false">HLOOKUP(G5,BDI!$D$19:$J$30,12,)</f>
        <v>0.2354</v>
      </c>
      <c r="I5" s="221" t="n">
        <v>142.98</v>
      </c>
      <c r="J5" s="221" t="n">
        <v>142.98</v>
      </c>
      <c r="K5" s="221" t="n">
        <v>0</v>
      </c>
      <c r="L5" s="221" t="n">
        <v>0</v>
      </c>
      <c r="M5" s="222" t="s">
        <v>257</v>
      </c>
      <c r="N5" s="222" t="s">
        <v>257</v>
      </c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  <c r="CK5" s="130"/>
      <c r="CL5" s="130"/>
      <c r="CM5" s="130"/>
      <c r="CN5" s="130"/>
      <c r="CO5" s="130"/>
      <c r="CP5" s="130"/>
      <c r="CQ5" s="130"/>
      <c r="CR5" s="130"/>
      <c r="CS5" s="130"/>
      <c r="CT5" s="130"/>
      <c r="CU5" s="130"/>
      <c r="CV5" s="130"/>
      <c r="CW5" s="130"/>
      <c r="CX5" s="130"/>
      <c r="CY5" s="130"/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  <c r="EG5" s="130"/>
      <c r="EH5" s="130"/>
      <c r="EI5" s="130"/>
      <c r="EJ5" s="130"/>
      <c r="EK5" s="130"/>
      <c r="EL5" s="130"/>
      <c r="EM5" s="130"/>
      <c r="EN5" s="130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0"/>
      <c r="FH5" s="130"/>
      <c r="FI5" s="130"/>
      <c r="FJ5" s="130"/>
      <c r="FK5" s="130"/>
      <c r="FL5" s="130"/>
      <c r="FM5" s="130"/>
      <c r="FN5" s="130"/>
      <c r="FO5" s="130"/>
      <c r="FP5" s="130"/>
      <c r="FQ5" s="130"/>
      <c r="FR5" s="130"/>
      <c r="FS5" s="130"/>
      <c r="FT5" s="130"/>
      <c r="FU5" s="130"/>
      <c r="FV5" s="130"/>
      <c r="FW5" s="130"/>
      <c r="FX5" s="130"/>
      <c r="FY5" s="130"/>
      <c r="FZ5" s="130"/>
      <c r="GA5" s="130"/>
      <c r="GB5" s="130"/>
      <c r="GC5" s="130"/>
      <c r="GD5" s="130"/>
      <c r="GE5" s="130"/>
      <c r="GF5" s="130"/>
      <c r="GG5" s="130"/>
      <c r="GH5" s="130"/>
      <c r="GI5" s="130"/>
      <c r="GJ5" s="130"/>
      <c r="GK5" s="130"/>
      <c r="GL5" s="130"/>
      <c r="GM5" s="130"/>
      <c r="GN5" s="130"/>
      <c r="GO5" s="130"/>
      <c r="GP5" s="130"/>
      <c r="GQ5" s="130"/>
      <c r="GR5" s="130"/>
      <c r="GS5" s="130"/>
      <c r="GT5" s="130"/>
      <c r="GU5" s="130"/>
      <c r="GV5" s="130"/>
      <c r="GW5" s="130"/>
      <c r="GX5" s="130"/>
      <c r="GY5" s="130"/>
      <c r="GZ5" s="130"/>
      <c r="HA5" s="130"/>
      <c r="HB5" s="130"/>
      <c r="HC5" s="130"/>
      <c r="HD5" s="130"/>
      <c r="HE5" s="130"/>
      <c r="HF5" s="130"/>
      <c r="HG5" s="130"/>
      <c r="HH5" s="130"/>
      <c r="HI5" s="130"/>
      <c r="HJ5" s="130"/>
      <c r="HK5" s="130"/>
      <c r="HL5" s="130"/>
      <c r="HM5" s="130"/>
      <c r="HN5" s="130"/>
      <c r="HO5" s="130"/>
      <c r="HP5" s="130"/>
      <c r="HQ5" s="130"/>
      <c r="HR5" s="130"/>
      <c r="HS5" s="130"/>
      <c r="HT5" s="130"/>
      <c r="HU5" s="130"/>
      <c r="HV5" s="130"/>
      <c r="HW5" s="130"/>
      <c r="HX5" s="130"/>
      <c r="HY5" s="130"/>
      <c r="HZ5" s="130"/>
      <c r="IA5" s="130"/>
      <c r="IB5" s="130"/>
      <c r="IC5" s="130"/>
      <c r="ID5" s="130"/>
      <c r="IE5" s="130"/>
      <c r="IF5" s="130"/>
      <c r="IG5" s="130"/>
      <c r="IH5" s="130"/>
      <c r="II5" s="130"/>
      <c r="IJ5" s="130"/>
      <c r="IK5" s="130"/>
      <c r="IL5" s="130"/>
      <c r="IM5" s="130"/>
      <c r="IN5" s="130"/>
      <c r="IO5" s="130"/>
      <c r="IP5" s="130"/>
      <c r="IQ5" s="130"/>
      <c r="IR5" s="130"/>
      <c r="IS5" s="130"/>
      <c r="IT5" s="130"/>
      <c r="IU5" s="130"/>
      <c r="IV5" s="130"/>
      <c r="IW5" s="130"/>
      <c r="IX5" s="130"/>
      <c r="IY5" s="130"/>
    </row>
    <row r="6" customFormat="false" ht="18" hidden="false" customHeight="true" outlineLevel="0" collapsed="false">
      <c r="B6" s="223" t="s">
        <v>255</v>
      </c>
      <c r="C6" s="223" t="s">
        <v>21</v>
      </c>
      <c r="D6" s="224" t="s">
        <v>81</v>
      </c>
      <c r="E6" s="218" t="s">
        <v>258</v>
      </c>
      <c r="F6" s="65" t="n">
        <v>0.9</v>
      </c>
      <c r="G6" s="220" t="n">
        <v>0.02</v>
      </c>
      <c r="H6" s="220" t="n">
        <f aca="false">HLOOKUP(G6,BDI!$D$19:$J$30,12,)</f>
        <v>0.2223</v>
      </c>
      <c r="I6" s="222" t="n">
        <v>1237.91</v>
      </c>
      <c r="J6" s="222" t="n">
        <v>1047.75</v>
      </c>
      <c r="K6" s="222" t="n">
        <v>190.16</v>
      </c>
      <c r="L6" s="222" t="n">
        <v>0</v>
      </c>
      <c r="M6" s="222" t="s">
        <v>259</v>
      </c>
      <c r="N6" s="222" t="s">
        <v>259</v>
      </c>
    </row>
    <row r="7" customFormat="false" ht="18" hidden="false" customHeight="true" outlineLevel="0" collapsed="false">
      <c r="B7" s="223" t="s">
        <v>255</v>
      </c>
      <c r="C7" s="223" t="s">
        <v>21</v>
      </c>
      <c r="D7" s="224" t="s">
        <v>85</v>
      </c>
      <c r="E7" s="225" t="s">
        <v>260</v>
      </c>
      <c r="F7" s="65" t="n">
        <v>0.97</v>
      </c>
      <c r="G7" s="220" t="n">
        <v>0.025</v>
      </c>
      <c r="H7" s="220" t="n">
        <f aca="false">HLOOKUP(G7,BDI!$D$19:$J$30,12,)</f>
        <v>0.2288</v>
      </c>
      <c r="I7" s="222" t="n">
        <v>1320.78</v>
      </c>
      <c r="J7" s="222" t="n">
        <v>925.8</v>
      </c>
      <c r="K7" s="222" t="n">
        <v>394.98</v>
      </c>
      <c r="L7" s="222" t="n">
        <v>0</v>
      </c>
      <c r="M7" s="222" t="s">
        <v>259</v>
      </c>
      <c r="N7" s="222" t="s">
        <v>259</v>
      </c>
    </row>
    <row r="8" customFormat="false" ht="18" hidden="false" customHeight="true" outlineLevel="0" collapsed="false">
      <c r="B8" s="223" t="s">
        <v>255</v>
      </c>
      <c r="C8" s="223" t="s">
        <v>21</v>
      </c>
      <c r="D8" s="224" t="s">
        <v>86</v>
      </c>
      <c r="E8" s="225" t="s">
        <v>261</v>
      </c>
      <c r="F8" s="65" t="n">
        <v>0.97</v>
      </c>
      <c r="G8" s="220" t="n">
        <v>0.02</v>
      </c>
      <c r="H8" s="220" t="n">
        <f aca="false">HLOOKUP(G8,BDI!$D$19:$J$30,12,)</f>
        <v>0.2223</v>
      </c>
      <c r="I8" s="222" t="n">
        <v>1577.06</v>
      </c>
      <c r="J8" s="222" t="n">
        <v>784.54</v>
      </c>
      <c r="K8" s="222" t="n">
        <v>565.1</v>
      </c>
      <c r="L8" s="222" t="n">
        <v>227.42</v>
      </c>
      <c r="M8" s="222" t="s">
        <v>257</v>
      </c>
      <c r="N8" s="222" t="s">
        <v>259</v>
      </c>
    </row>
    <row r="9" customFormat="false" ht="18" hidden="false" customHeight="true" outlineLevel="0" collapsed="false">
      <c r="B9" s="223" t="s">
        <v>255</v>
      </c>
      <c r="C9" s="223" t="s">
        <v>21</v>
      </c>
      <c r="D9" s="224" t="s">
        <v>87</v>
      </c>
      <c r="E9" s="218" t="s">
        <v>262</v>
      </c>
      <c r="F9" s="65" t="n">
        <v>0.53</v>
      </c>
      <c r="G9" s="220" t="n">
        <v>0.03</v>
      </c>
      <c r="H9" s="220" t="n">
        <f aca="false">HLOOKUP(G9,BDI!$D$19:$J$30,12,)</f>
        <v>0.2354</v>
      </c>
      <c r="I9" s="222" t="n">
        <v>436.8</v>
      </c>
      <c r="J9" s="222" t="n">
        <v>0</v>
      </c>
      <c r="K9" s="222" t="n">
        <v>436.8</v>
      </c>
      <c r="L9" s="222" t="n">
        <v>0</v>
      </c>
      <c r="M9" s="222" t="s">
        <v>257</v>
      </c>
      <c r="N9" s="222" t="s">
        <v>257</v>
      </c>
    </row>
    <row r="10" customFormat="false" ht="18" hidden="false" customHeight="true" outlineLevel="0" collapsed="false">
      <c r="B10" s="223" t="s">
        <v>255</v>
      </c>
      <c r="C10" s="223" t="s">
        <v>21</v>
      </c>
      <c r="D10" s="224" t="s">
        <v>89</v>
      </c>
      <c r="E10" s="218" t="s">
        <v>263</v>
      </c>
      <c r="F10" s="65" t="n">
        <v>0.93</v>
      </c>
      <c r="G10" s="220" t="n">
        <v>0.02</v>
      </c>
      <c r="H10" s="220" t="n">
        <f aca="false">HLOOKUP(G10,BDI!$D$19:$J$30,12,)</f>
        <v>0.2223</v>
      </c>
      <c r="I10" s="222" t="n">
        <v>2817.56</v>
      </c>
      <c r="J10" s="222" t="n">
        <v>0</v>
      </c>
      <c r="K10" s="222" t="n">
        <v>731.05</v>
      </c>
      <c r="L10" s="222" t="n">
        <v>2086.51</v>
      </c>
      <c r="M10" s="222" t="s">
        <v>257</v>
      </c>
      <c r="N10" s="222" t="s">
        <v>257</v>
      </c>
    </row>
    <row r="11" customFormat="false" ht="18" hidden="false" customHeight="true" outlineLevel="0" collapsed="false">
      <c r="B11" s="223" t="s">
        <v>255</v>
      </c>
      <c r="C11" s="223" t="s">
        <v>21</v>
      </c>
      <c r="D11" s="224" t="s">
        <v>90</v>
      </c>
      <c r="E11" s="218" t="s">
        <v>264</v>
      </c>
      <c r="F11" s="65" t="n">
        <v>0.67</v>
      </c>
      <c r="G11" s="220" t="n">
        <v>0.03</v>
      </c>
      <c r="H11" s="220" t="n">
        <f aca="false">HLOOKUP(G11,BDI!$D$19:$J$30,12,)</f>
        <v>0.2354</v>
      </c>
      <c r="I11" s="222" t="n">
        <v>3136.2</v>
      </c>
      <c r="J11" s="222" t="n">
        <v>2619.3</v>
      </c>
      <c r="K11" s="222" t="n">
        <v>376.78</v>
      </c>
      <c r="L11" s="222" t="n">
        <v>140.12</v>
      </c>
      <c r="M11" s="222" t="s">
        <v>259</v>
      </c>
      <c r="N11" s="222" t="s">
        <v>259</v>
      </c>
    </row>
    <row r="12" customFormat="false" ht="18" hidden="false" customHeight="true" outlineLevel="0" collapsed="false">
      <c r="B12" s="223" t="s">
        <v>21</v>
      </c>
      <c r="C12" s="223" t="s">
        <v>21</v>
      </c>
      <c r="D12" s="224" t="s">
        <v>92</v>
      </c>
      <c r="E12" s="218" t="s">
        <v>265</v>
      </c>
      <c r="F12" s="65" t="n">
        <v>0.97</v>
      </c>
      <c r="G12" s="220" t="n">
        <v>0.03</v>
      </c>
      <c r="H12" s="220" t="n">
        <f aca="false">HLOOKUP(G12,BDI!$D$19:$J$30,12,)</f>
        <v>0.2354</v>
      </c>
      <c r="I12" s="222" t="n">
        <v>394</v>
      </c>
      <c r="J12" s="222" t="n">
        <v>374</v>
      </c>
      <c r="K12" s="222" t="n">
        <v>20</v>
      </c>
      <c r="L12" s="222" t="n">
        <v>0</v>
      </c>
      <c r="M12" s="222" t="s">
        <v>257</v>
      </c>
      <c r="N12" s="222" t="s">
        <v>257</v>
      </c>
    </row>
    <row r="13" customFormat="false" ht="18" hidden="false" customHeight="true" outlineLevel="0" collapsed="false">
      <c r="B13" s="223" t="s">
        <v>21</v>
      </c>
      <c r="C13" s="223" t="s">
        <v>21</v>
      </c>
      <c r="D13" s="224" t="s">
        <v>93</v>
      </c>
      <c r="E13" s="218" t="s">
        <v>266</v>
      </c>
      <c r="F13" s="65" t="n">
        <v>0.07</v>
      </c>
      <c r="G13" s="220" t="n">
        <v>0.04</v>
      </c>
      <c r="H13" s="220" t="n">
        <f aca="false">HLOOKUP(G13,BDI!$D$19:$J$30,12,)</f>
        <v>0.2487</v>
      </c>
      <c r="I13" s="222" t="n">
        <v>10465.16</v>
      </c>
      <c r="J13" s="222" t="n">
        <v>396.9</v>
      </c>
      <c r="K13" s="222" t="n">
        <v>132.9</v>
      </c>
      <c r="L13" s="222" t="n">
        <f aca="false">I13-J13-K13</f>
        <v>9935.36</v>
      </c>
      <c r="M13" s="222" t="s">
        <v>259</v>
      </c>
      <c r="N13" s="222" t="s">
        <v>259</v>
      </c>
    </row>
    <row r="14" customFormat="false" ht="18" hidden="false" customHeight="true" outlineLevel="0" collapsed="false">
      <c r="B14" s="223" t="s">
        <v>21</v>
      </c>
      <c r="C14" s="223" t="s">
        <v>21</v>
      </c>
      <c r="D14" s="224" t="s">
        <v>95</v>
      </c>
      <c r="E14" s="218" t="s">
        <v>267</v>
      </c>
      <c r="F14" s="65" t="n">
        <v>0.3</v>
      </c>
      <c r="G14" s="220" t="n">
        <v>0.04</v>
      </c>
      <c r="H14" s="220" t="n">
        <f aca="false">HLOOKUP(G14,BDI!$D$19:$J$30,12,)</f>
        <v>0.2487</v>
      </c>
      <c r="I14" s="222" t="n">
        <v>10773</v>
      </c>
      <c r="J14" s="222" t="n">
        <v>3538</v>
      </c>
      <c r="K14" s="222" t="n">
        <v>2625.3</v>
      </c>
      <c r="L14" s="222" t="n">
        <v>4609.7</v>
      </c>
      <c r="M14" s="222" t="s">
        <v>259</v>
      </c>
      <c r="N14" s="222" t="s">
        <v>259</v>
      </c>
    </row>
    <row r="15" customFormat="false" ht="18" hidden="false" customHeight="true" outlineLevel="0" collapsed="false">
      <c r="B15" s="223" t="s">
        <v>21</v>
      </c>
      <c r="C15" s="223" t="s">
        <v>21</v>
      </c>
      <c r="D15" s="224" t="s">
        <v>96</v>
      </c>
      <c r="E15" s="218" t="s">
        <v>268</v>
      </c>
      <c r="F15" s="65" t="n">
        <v>0.67</v>
      </c>
      <c r="G15" s="220" t="n">
        <v>0.04</v>
      </c>
      <c r="H15" s="220" t="n">
        <f aca="false">HLOOKUP(G15,BDI!$D$19:$J$30,12,)</f>
        <v>0.2487</v>
      </c>
      <c r="I15" s="222" t="n">
        <v>398</v>
      </c>
      <c r="J15" s="222" t="n">
        <v>350</v>
      </c>
      <c r="K15" s="222" t="n">
        <v>48</v>
      </c>
      <c r="L15" s="222" t="n">
        <v>0</v>
      </c>
      <c r="M15" s="222" t="s">
        <v>257</v>
      </c>
      <c r="N15" s="222" t="s">
        <v>259</v>
      </c>
    </row>
    <row r="16" customFormat="false" ht="18" hidden="false" customHeight="true" outlineLevel="0" collapsed="false">
      <c r="B16" s="223" t="s">
        <v>21</v>
      </c>
      <c r="C16" s="223" t="s">
        <v>21</v>
      </c>
      <c r="D16" s="224" t="s">
        <v>97</v>
      </c>
      <c r="E16" s="218" t="s">
        <v>269</v>
      </c>
      <c r="F16" s="65" t="n">
        <v>0.47</v>
      </c>
      <c r="G16" s="220" t="n">
        <v>0.04</v>
      </c>
      <c r="H16" s="220" t="n">
        <f aca="false">HLOOKUP(G16,BDI!$D$19:$J$30,12,)</f>
        <v>0.2487</v>
      </c>
      <c r="I16" s="222" t="n">
        <v>3131</v>
      </c>
      <c r="J16" s="222" t="n">
        <v>138</v>
      </c>
      <c r="K16" s="222" t="n">
        <v>2993</v>
      </c>
      <c r="L16" s="222" t="n">
        <v>0</v>
      </c>
      <c r="M16" s="222" t="s">
        <v>259</v>
      </c>
      <c r="N16" s="222" t="s">
        <v>259</v>
      </c>
    </row>
    <row r="17" customFormat="false" ht="18" hidden="false" customHeight="true" outlineLevel="0" collapsed="false">
      <c r="B17" s="223" t="s">
        <v>21</v>
      </c>
      <c r="C17" s="223" t="s">
        <v>21</v>
      </c>
      <c r="D17" s="224" t="s">
        <v>98</v>
      </c>
      <c r="E17" s="225" t="s">
        <v>270</v>
      </c>
      <c r="F17" s="65" t="n">
        <v>0</v>
      </c>
      <c r="G17" s="220" t="n">
        <v>0.04</v>
      </c>
      <c r="H17" s="220" t="n">
        <f aca="false">HLOOKUP(G17,BDI!$D$19:$J$30,12,)</f>
        <v>0.2487</v>
      </c>
      <c r="I17" s="222" t="n">
        <v>18091</v>
      </c>
      <c r="J17" s="222" t="n">
        <v>9045.5</v>
      </c>
      <c r="K17" s="222" t="n">
        <v>2713.65</v>
      </c>
      <c r="L17" s="222" t="n">
        <v>6331.85</v>
      </c>
      <c r="M17" s="222" t="s">
        <v>259</v>
      </c>
      <c r="N17" s="222" t="s">
        <v>259</v>
      </c>
    </row>
    <row r="18" customFormat="false" ht="18" hidden="false" customHeight="true" outlineLevel="0" collapsed="false">
      <c r="B18" s="223" t="s">
        <v>21</v>
      </c>
      <c r="C18" s="223" t="s">
        <v>21</v>
      </c>
      <c r="D18" s="224" t="s">
        <v>99</v>
      </c>
      <c r="E18" s="218" t="s">
        <v>271</v>
      </c>
      <c r="F18" s="65" t="n">
        <v>0.07</v>
      </c>
      <c r="G18" s="220" t="n">
        <v>0.04</v>
      </c>
      <c r="H18" s="220" t="n">
        <f aca="false">HLOOKUP(G18,BDI!$D$19:$J$30,12,)</f>
        <v>0.2487</v>
      </c>
      <c r="I18" s="222" t="n">
        <v>7872</v>
      </c>
      <c r="J18" s="222" t="n">
        <v>0</v>
      </c>
      <c r="K18" s="222" t="n">
        <v>0</v>
      </c>
      <c r="L18" s="222" t="n">
        <v>7872</v>
      </c>
      <c r="M18" s="222" t="s">
        <v>257</v>
      </c>
      <c r="N18" s="222" t="s">
        <v>259</v>
      </c>
    </row>
    <row r="19" customFormat="false" ht="18" hidden="false" customHeight="true" outlineLevel="0" collapsed="false">
      <c r="B19" s="223" t="s">
        <v>22</v>
      </c>
      <c r="C19" s="223" t="s">
        <v>22</v>
      </c>
      <c r="D19" s="224" t="s">
        <v>132</v>
      </c>
      <c r="E19" s="218" t="s">
        <v>272</v>
      </c>
      <c r="F19" s="65" t="n">
        <v>3.67</v>
      </c>
      <c r="G19" s="220" t="n">
        <v>0.02</v>
      </c>
      <c r="H19" s="220" t="n">
        <f aca="false">HLOOKUP(G19,BDI!$D$19:$J$30,12,)</f>
        <v>0.2223</v>
      </c>
      <c r="I19" s="222" t="n">
        <v>1011.72</v>
      </c>
      <c r="J19" s="222" t="n">
        <v>492.6</v>
      </c>
      <c r="K19" s="222" t="n">
        <v>501.82</v>
      </c>
      <c r="L19" s="222" t="n">
        <v>17.3</v>
      </c>
      <c r="M19" s="222" t="s">
        <v>257</v>
      </c>
      <c r="N19" s="222" t="s">
        <v>259</v>
      </c>
    </row>
    <row r="20" customFormat="false" ht="18" hidden="false" customHeight="true" outlineLevel="0" collapsed="false">
      <c r="B20" s="223" t="s">
        <v>22</v>
      </c>
      <c r="C20" s="223" t="s">
        <v>22</v>
      </c>
      <c r="D20" s="224" t="s">
        <v>133</v>
      </c>
      <c r="E20" s="218" t="s">
        <v>273</v>
      </c>
      <c r="F20" s="65" t="n">
        <v>0.83</v>
      </c>
      <c r="G20" s="220" t="n">
        <v>0.02</v>
      </c>
      <c r="H20" s="220" t="n">
        <f aca="false">HLOOKUP(G20,BDI!$D$19:$J$30,12,)</f>
        <v>0.2223</v>
      </c>
      <c r="I20" s="222" t="n">
        <v>334.4</v>
      </c>
      <c r="J20" s="222" t="n">
        <v>296</v>
      </c>
      <c r="K20" s="222" t="n">
        <v>38.4</v>
      </c>
      <c r="L20" s="222" t="n">
        <v>0</v>
      </c>
      <c r="M20" s="222" t="s">
        <v>257</v>
      </c>
      <c r="N20" s="222" t="s">
        <v>257</v>
      </c>
    </row>
    <row r="21" customFormat="false" ht="18" hidden="false" customHeight="true" outlineLevel="0" collapsed="false">
      <c r="B21" s="223" t="s">
        <v>22</v>
      </c>
      <c r="C21" s="223" t="s">
        <v>22</v>
      </c>
      <c r="D21" s="224" t="s">
        <v>134</v>
      </c>
      <c r="E21" s="218" t="s">
        <v>274</v>
      </c>
      <c r="F21" s="65" t="n">
        <v>3.45</v>
      </c>
      <c r="G21" s="220" t="n">
        <v>0.02</v>
      </c>
      <c r="H21" s="220" t="n">
        <f aca="false">HLOOKUP(G21,BDI!$D$19:$J$30,12,)</f>
        <v>0.2223</v>
      </c>
      <c r="I21" s="222" t="n">
        <v>1001.58</v>
      </c>
      <c r="J21" s="222" t="n">
        <v>528.18</v>
      </c>
      <c r="K21" s="222" t="n">
        <v>0</v>
      </c>
      <c r="L21" s="222" t="n">
        <v>1152.36</v>
      </c>
      <c r="M21" s="222" t="s">
        <v>257</v>
      </c>
      <c r="N21" s="222" t="s">
        <v>259</v>
      </c>
    </row>
    <row r="22" customFormat="false" ht="18" hidden="false" customHeight="true" outlineLevel="0" collapsed="false">
      <c r="B22" s="223" t="s">
        <v>22</v>
      </c>
      <c r="C22" s="223" t="s">
        <v>22</v>
      </c>
      <c r="D22" s="224" t="s">
        <v>135</v>
      </c>
      <c r="E22" s="218" t="s">
        <v>275</v>
      </c>
      <c r="F22" s="65" t="n">
        <v>2</v>
      </c>
      <c r="G22" s="220" t="n">
        <v>0.03</v>
      </c>
      <c r="H22" s="220" t="n">
        <f aca="false">HLOOKUP(G22,BDI!$D$19:$J$30,12,)</f>
        <v>0.2354</v>
      </c>
      <c r="I22" s="222" t="n">
        <v>1315.1</v>
      </c>
      <c r="J22" s="222" t="n">
        <v>1195.25</v>
      </c>
      <c r="K22" s="222" t="n">
        <v>119.85</v>
      </c>
      <c r="L22" s="222" t="n">
        <v>0</v>
      </c>
      <c r="M22" s="222" t="s">
        <v>257</v>
      </c>
      <c r="N22" s="222" t="s">
        <v>259</v>
      </c>
    </row>
    <row r="23" customFormat="false" ht="18" hidden="false" customHeight="true" outlineLevel="0" collapsed="false">
      <c r="B23" s="223" t="s">
        <v>22</v>
      </c>
      <c r="C23" s="223" t="s">
        <v>22</v>
      </c>
      <c r="D23" s="224" t="s">
        <v>136</v>
      </c>
      <c r="E23" s="218" t="s">
        <v>276</v>
      </c>
      <c r="F23" s="65" t="n">
        <v>5.8</v>
      </c>
      <c r="G23" s="220" t="n">
        <v>0.03</v>
      </c>
      <c r="H23" s="220" t="n">
        <f aca="false">HLOOKUP(G23,BDI!$D$19:$J$30,12,)</f>
        <v>0.2354</v>
      </c>
      <c r="I23" s="222" t="n">
        <v>399.57</v>
      </c>
      <c r="J23" s="222" t="n">
        <v>322.16</v>
      </c>
      <c r="K23" s="222" t="n">
        <v>77.41</v>
      </c>
      <c r="L23" s="222" t="n">
        <v>0</v>
      </c>
      <c r="M23" s="222" t="s">
        <v>257</v>
      </c>
      <c r="N23" s="222" t="s">
        <v>257</v>
      </c>
    </row>
    <row r="24" customFormat="false" ht="18" hidden="false" customHeight="true" outlineLevel="0" collapsed="false">
      <c r="B24" s="223" t="s">
        <v>22</v>
      </c>
      <c r="C24" s="223" t="s">
        <v>22</v>
      </c>
      <c r="D24" s="224" t="s">
        <v>137</v>
      </c>
      <c r="E24" s="218" t="s">
        <v>277</v>
      </c>
      <c r="F24" s="65" t="n">
        <v>3.4</v>
      </c>
      <c r="G24" s="220" t="n">
        <v>0.04</v>
      </c>
      <c r="H24" s="220" t="n">
        <f aca="false">HLOOKUP(G24,BDI!$D$19:$J$30,12,)</f>
        <v>0.2487</v>
      </c>
      <c r="I24" s="222" t="n">
        <v>334.4</v>
      </c>
      <c r="J24" s="222" t="n">
        <v>296</v>
      </c>
      <c r="K24" s="222" t="n">
        <v>38.4</v>
      </c>
      <c r="L24" s="222" t="n">
        <v>0</v>
      </c>
      <c r="M24" s="222" t="s">
        <v>257</v>
      </c>
      <c r="N24" s="222" t="s">
        <v>257</v>
      </c>
    </row>
    <row r="25" customFormat="false" ht="18" hidden="false" customHeight="true" outlineLevel="0" collapsed="false">
      <c r="B25" s="223" t="s">
        <v>22</v>
      </c>
      <c r="C25" s="223" t="s">
        <v>22</v>
      </c>
      <c r="D25" s="224" t="s">
        <v>138</v>
      </c>
      <c r="E25" s="218" t="s">
        <v>278</v>
      </c>
      <c r="F25" s="65" t="n">
        <v>2.07</v>
      </c>
      <c r="G25" s="220" t="n">
        <v>0.02</v>
      </c>
      <c r="H25" s="220" t="n">
        <f aca="false">HLOOKUP(G25,BDI!$D$19:$J$30,12,)</f>
        <v>0.2223</v>
      </c>
      <c r="I25" s="222" t="n">
        <v>740.65</v>
      </c>
      <c r="J25" s="222" t="n">
        <v>631.06</v>
      </c>
      <c r="K25" s="222" t="n">
        <v>109.59</v>
      </c>
      <c r="L25" s="222" t="n">
        <v>0</v>
      </c>
      <c r="M25" s="222" t="s">
        <v>257</v>
      </c>
      <c r="N25" s="222" t="s">
        <v>257</v>
      </c>
    </row>
    <row r="26" customFormat="false" ht="18" hidden="false" customHeight="true" outlineLevel="0" collapsed="false">
      <c r="B26" s="223" t="s">
        <v>22</v>
      </c>
      <c r="C26" s="223" t="s">
        <v>22</v>
      </c>
      <c r="D26" s="224" t="s">
        <v>139</v>
      </c>
      <c r="E26" s="218" t="s">
        <v>279</v>
      </c>
      <c r="F26" s="65" t="n">
        <v>4.73</v>
      </c>
      <c r="G26" s="220" t="n">
        <v>0.02</v>
      </c>
      <c r="H26" s="220" t="n">
        <f aca="false">HLOOKUP(G26,BDI!$D$19:$J$30,12,)</f>
        <v>0.2223</v>
      </c>
      <c r="I26" s="222" t="n">
        <v>334.4</v>
      </c>
      <c r="J26" s="222" t="n">
        <v>296</v>
      </c>
      <c r="K26" s="222" t="n">
        <v>38.4</v>
      </c>
      <c r="L26" s="222" t="n">
        <v>0</v>
      </c>
      <c r="M26" s="222" t="s">
        <v>257</v>
      </c>
      <c r="N26" s="222" t="s">
        <v>257</v>
      </c>
    </row>
    <row r="27" customFormat="false" ht="18" hidden="false" customHeight="true" outlineLevel="0" collapsed="false">
      <c r="B27" s="223" t="s">
        <v>22</v>
      </c>
      <c r="C27" s="223" t="s">
        <v>22</v>
      </c>
      <c r="D27" s="224" t="s">
        <v>140</v>
      </c>
      <c r="E27" s="218" t="s">
        <v>280</v>
      </c>
      <c r="F27" s="65" t="n">
        <v>0</v>
      </c>
      <c r="G27" s="220" t="n">
        <v>0.035</v>
      </c>
      <c r="H27" s="220" t="n">
        <f aca="false">HLOOKUP(G27,BDI!$D$19:$J$30,12,)</f>
        <v>0.242</v>
      </c>
      <c r="I27" s="222" t="n">
        <v>4965.68</v>
      </c>
      <c r="J27" s="222" t="n">
        <v>3104.81</v>
      </c>
      <c r="K27" s="222" t="n">
        <v>1100.62</v>
      </c>
      <c r="L27" s="222" t="n">
        <v>760.25</v>
      </c>
      <c r="M27" s="222" t="s">
        <v>257</v>
      </c>
      <c r="N27" s="222" t="s">
        <v>259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false" showRowColHeaders="true" showZeros="true" rightToLeft="false" tabSelected="false" showOutlineSymbols="true" defaultGridColor="true" view="normal" topLeftCell="A14" colorId="64" zoomScale="110" zoomScaleNormal="110" zoomScalePageLayoutView="100" workbookViewId="0">
      <selection pane="topLeft" activeCell="M38" activeCellId="0" sqref="M38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26" width="10.62"/>
    <col collapsed="false" customWidth="true" hidden="false" outlineLevel="0" max="3" min="3" style="226" width="35.62"/>
    <col collapsed="false" customWidth="true" hidden="false" outlineLevel="0" max="4" min="4" style="51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27" t="s">
        <v>281</v>
      </c>
      <c r="C2" s="227"/>
      <c r="D2" s="227"/>
      <c r="E2" s="227"/>
      <c r="F2" s="227"/>
      <c r="G2" s="227"/>
      <c r="H2" s="227"/>
      <c r="I2" s="227"/>
      <c r="J2" s="227"/>
    </row>
    <row r="3" customFormat="false" ht="19.5" hidden="false" customHeight="true" outlineLevel="0" collapsed="false">
      <c r="B3" s="228" t="str">
        <f aca="false">'Valor da Contratação'!B8</f>
        <v>NÃO DESONERADA</v>
      </c>
      <c r="C3" s="228"/>
      <c r="D3" s="228"/>
      <c r="E3" s="228"/>
      <c r="F3" s="228"/>
      <c r="G3" s="228"/>
      <c r="H3" s="228"/>
      <c r="I3" s="228"/>
      <c r="J3" s="228"/>
    </row>
    <row r="4" customFormat="false" ht="15" hidden="false" customHeight="true" outlineLevel="0" collapsed="false">
      <c r="B4" s="229"/>
      <c r="C4" s="229"/>
      <c r="D4" s="21"/>
    </row>
    <row r="5" customFormat="false" ht="15" hidden="false" customHeight="true" outlineLevel="0" collapsed="false">
      <c r="B5" s="230" t="s">
        <v>282</v>
      </c>
      <c r="C5" s="230"/>
      <c r="D5" s="230"/>
      <c r="E5" s="230"/>
      <c r="F5" s="230"/>
      <c r="G5" s="230"/>
      <c r="H5" s="230"/>
      <c r="I5" s="230"/>
      <c r="J5" s="230"/>
    </row>
    <row r="6" customFormat="false" ht="15" hidden="false" customHeight="true" outlineLevel="0" collapsed="false">
      <c r="B6" s="231"/>
      <c r="C6" s="2"/>
      <c r="D6" s="118"/>
      <c r="E6" s="118"/>
      <c r="J6" s="232"/>
    </row>
    <row r="7" customFormat="false" ht="15" hidden="false" customHeight="true" outlineLevel="0" collapsed="false">
      <c r="B7" s="233" t="s">
        <v>283</v>
      </c>
      <c r="C7" s="233"/>
      <c r="D7" s="233"/>
      <c r="E7" s="233"/>
      <c r="F7" s="233"/>
      <c r="G7" s="233"/>
      <c r="H7" s="233"/>
      <c r="I7" s="233"/>
      <c r="J7" s="233"/>
    </row>
    <row r="8" customFormat="false" ht="15" hidden="false" customHeight="true" outlineLevel="0" collapsed="false">
      <c r="B8" s="234"/>
      <c r="C8" s="235"/>
      <c r="D8" s="118"/>
      <c r="E8" s="118"/>
      <c r="J8" s="232"/>
    </row>
    <row r="9" customFormat="false" ht="15" hidden="false" customHeight="true" outlineLevel="0" collapsed="false">
      <c r="B9" s="236" t="s">
        <v>284</v>
      </c>
      <c r="C9" s="236"/>
      <c r="D9" s="236"/>
      <c r="E9" s="236"/>
      <c r="F9" s="236"/>
      <c r="G9" s="236"/>
      <c r="H9" s="236"/>
      <c r="I9" s="236"/>
      <c r="J9" s="236"/>
    </row>
    <row r="10" customFormat="false" ht="15" hidden="false" customHeight="true" outlineLevel="0" collapsed="false">
      <c r="B10" s="237" t="s">
        <v>285</v>
      </c>
      <c r="C10" s="237"/>
      <c r="D10" s="237"/>
      <c r="E10" s="237"/>
      <c r="F10" s="237"/>
      <c r="G10" s="237"/>
      <c r="H10" s="237"/>
      <c r="I10" s="237"/>
      <c r="J10" s="237"/>
    </row>
    <row r="11" customFormat="false" ht="15" hidden="false" customHeight="true" outlineLevel="0" collapsed="false">
      <c r="B11" s="237" t="s">
        <v>286</v>
      </c>
      <c r="C11" s="237"/>
      <c r="D11" s="237"/>
      <c r="E11" s="237"/>
      <c r="F11" s="237"/>
      <c r="G11" s="237"/>
      <c r="H11" s="237"/>
      <c r="I11" s="237"/>
      <c r="J11" s="237"/>
    </row>
    <row r="12" customFormat="false" ht="15" hidden="false" customHeight="true" outlineLevel="0" collapsed="false">
      <c r="B12" s="237" t="s">
        <v>287</v>
      </c>
      <c r="C12" s="237"/>
      <c r="D12" s="237"/>
      <c r="E12" s="237"/>
      <c r="F12" s="237"/>
      <c r="G12" s="237"/>
      <c r="H12" s="237"/>
      <c r="I12" s="237"/>
      <c r="J12" s="237"/>
    </row>
    <row r="13" customFormat="false" ht="15" hidden="false" customHeight="true" outlineLevel="0" collapsed="false">
      <c r="B13" s="237" t="s">
        <v>288</v>
      </c>
      <c r="C13" s="237"/>
      <c r="D13" s="237"/>
      <c r="E13" s="237"/>
      <c r="F13" s="237"/>
      <c r="G13" s="237"/>
      <c r="H13" s="237"/>
      <c r="I13" s="237"/>
      <c r="J13" s="237"/>
    </row>
    <row r="14" customFormat="false" ht="15" hidden="false" customHeight="true" outlineLevel="0" collapsed="false">
      <c r="B14" s="237" t="s">
        <v>289</v>
      </c>
      <c r="C14" s="237"/>
      <c r="D14" s="237"/>
      <c r="E14" s="237"/>
      <c r="F14" s="237"/>
      <c r="G14" s="237"/>
      <c r="H14" s="237"/>
      <c r="I14" s="237"/>
      <c r="J14" s="237"/>
    </row>
    <row r="15" customFormat="false" ht="15" hidden="false" customHeight="true" outlineLevel="0" collapsed="false">
      <c r="B15" s="237" t="s">
        <v>290</v>
      </c>
      <c r="C15" s="237"/>
      <c r="D15" s="237"/>
      <c r="E15" s="237"/>
      <c r="F15" s="237"/>
      <c r="G15" s="237"/>
      <c r="H15" s="237"/>
      <c r="I15" s="237"/>
      <c r="J15" s="237"/>
    </row>
    <row r="16" customFormat="false" ht="15" hidden="false" customHeight="true" outlineLevel="0" collapsed="false">
      <c r="B16" s="238" t="s">
        <v>291</v>
      </c>
      <c r="C16" s="238"/>
      <c r="D16" s="238"/>
      <c r="E16" s="238"/>
      <c r="F16" s="238"/>
      <c r="G16" s="238"/>
      <c r="H16" s="238"/>
      <c r="I16" s="238"/>
      <c r="J16" s="238"/>
    </row>
    <row r="17" customFormat="false" ht="24.75" hidden="false" customHeight="true" outlineLevel="0" collapsed="false">
      <c r="D17" s="21"/>
    </row>
    <row r="18" customFormat="false" ht="16.5" hidden="false" customHeight="true" outlineLevel="0" collapsed="false">
      <c r="B18" s="33" t="s">
        <v>292</v>
      </c>
      <c r="C18" s="33"/>
      <c r="D18" s="239" t="s">
        <v>248</v>
      </c>
      <c r="E18" s="239" t="s">
        <v>248</v>
      </c>
      <c r="F18" s="239" t="s">
        <v>248</v>
      </c>
      <c r="G18" s="240" t="s">
        <v>248</v>
      </c>
      <c r="H18" s="241" t="s">
        <v>248</v>
      </c>
      <c r="I18" s="241" t="s">
        <v>248</v>
      </c>
      <c r="J18" s="241" t="s">
        <v>248</v>
      </c>
    </row>
    <row r="19" customFormat="false" ht="16.5" hidden="false" customHeight="true" outlineLevel="0" collapsed="false">
      <c r="B19" s="33"/>
      <c r="C19" s="33"/>
      <c r="D19" s="242" t="n">
        <v>0.05</v>
      </c>
      <c r="E19" s="242" t="n">
        <v>0.04</v>
      </c>
      <c r="F19" s="242" t="n">
        <v>0.035</v>
      </c>
      <c r="G19" s="243" t="n">
        <v>0.03</v>
      </c>
      <c r="H19" s="244" t="n">
        <v>0.025</v>
      </c>
      <c r="I19" s="244" t="n">
        <v>0.02</v>
      </c>
      <c r="J19" s="244" t="n">
        <v>0.015</v>
      </c>
    </row>
    <row r="20" customFormat="false" ht="16.5" hidden="false" customHeight="true" outlineLevel="0" collapsed="false">
      <c r="B20" s="216" t="s">
        <v>293</v>
      </c>
      <c r="C20" s="245" t="s">
        <v>294</v>
      </c>
      <c r="D20" s="246" t="n">
        <v>0.04</v>
      </c>
      <c r="E20" s="246" t="n">
        <v>0.04</v>
      </c>
      <c r="F20" s="246" t="n">
        <v>0.04</v>
      </c>
      <c r="G20" s="246" t="n">
        <v>0.04</v>
      </c>
      <c r="H20" s="246" t="n">
        <v>0.04</v>
      </c>
      <c r="I20" s="246" t="n">
        <v>0.04</v>
      </c>
      <c r="J20" s="246" t="n">
        <v>0.04</v>
      </c>
    </row>
    <row r="21" customFormat="false" ht="16.5" hidden="false" customHeight="true" outlineLevel="0" collapsed="false">
      <c r="B21" s="216" t="s">
        <v>295</v>
      </c>
      <c r="C21" s="223" t="s">
        <v>296</v>
      </c>
      <c r="D21" s="247" t="n">
        <v>0.0123</v>
      </c>
      <c r="E21" s="247" t="n">
        <v>0.0123</v>
      </c>
      <c r="F21" s="247" t="n">
        <v>0.0123</v>
      </c>
      <c r="G21" s="247" t="n">
        <v>0.0123</v>
      </c>
      <c r="H21" s="247" t="n">
        <v>0.0123</v>
      </c>
      <c r="I21" s="247" t="n">
        <v>0.0123</v>
      </c>
      <c r="J21" s="247" t="n">
        <v>0.0123</v>
      </c>
    </row>
    <row r="22" customFormat="false" ht="16.5" hidden="false" customHeight="true" outlineLevel="0" collapsed="false">
      <c r="B22" s="216" t="s">
        <v>297</v>
      </c>
      <c r="C22" s="223" t="s">
        <v>298</v>
      </c>
      <c r="D22" s="247" t="n">
        <v>0.008</v>
      </c>
      <c r="E22" s="247" t="n">
        <v>0.008</v>
      </c>
      <c r="F22" s="247" t="n">
        <v>0.008</v>
      </c>
      <c r="G22" s="247" t="n">
        <v>0.008</v>
      </c>
      <c r="H22" s="247" t="n">
        <v>0.008</v>
      </c>
      <c r="I22" s="247" t="n">
        <v>0.008</v>
      </c>
      <c r="J22" s="247" t="n">
        <v>0.008</v>
      </c>
    </row>
    <row r="23" customFormat="false" ht="16.5" hidden="false" customHeight="true" outlineLevel="0" collapsed="false">
      <c r="B23" s="216" t="s">
        <v>299</v>
      </c>
      <c r="C23" s="223" t="s">
        <v>300</v>
      </c>
      <c r="D23" s="247" t="n">
        <v>0.0127</v>
      </c>
      <c r="E23" s="247" t="n">
        <v>0.0127</v>
      </c>
      <c r="F23" s="247" t="n">
        <v>0.0127</v>
      </c>
      <c r="G23" s="247" t="n">
        <v>0.0127</v>
      </c>
      <c r="H23" s="247" t="n">
        <v>0.0127</v>
      </c>
      <c r="I23" s="247" t="n">
        <v>0.0127</v>
      </c>
      <c r="J23" s="247" t="n">
        <v>0.0127</v>
      </c>
    </row>
    <row r="24" customFormat="false" ht="16.5" hidden="false" customHeight="true" outlineLevel="0" collapsed="false">
      <c r="B24" s="216" t="s">
        <v>301</v>
      </c>
      <c r="C24" s="223" t="s">
        <v>302</v>
      </c>
      <c r="D24" s="247" t="n">
        <v>0.074</v>
      </c>
      <c r="E24" s="247" t="n">
        <v>0.074</v>
      </c>
      <c r="F24" s="247" t="n">
        <v>0.074</v>
      </c>
      <c r="G24" s="247" t="n">
        <v>0.074</v>
      </c>
      <c r="H24" s="247" t="n">
        <v>0.074</v>
      </c>
      <c r="I24" s="247" t="n">
        <v>0.074</v>
      </c>
      <c r="J24" s="247" t="n">
        <v>0.074</v>
      </c>
    </row>
    <row r="25" customFormat="false" ht="16.5" hidden="false" customHeight="true" outlineLevel="0" collapsed="false">
      <c r="B25" s="216" t="s">
        <v>198</v>
      </c>
      <c r="C25" s="223" t="s">
        <v>303</v>
      </c>
      <c r="D25" s="247" t="n">
        <v>0.0065</v>
      </c>
      <c r="E25" s="247" t="n">
        <v>0.0065</v>
      </c>
      <c r="F25" s="247" t="n">
        <v>0.0065</v>
      </c>
      <c r="G25" s="247" t="n">
        <v>0.0065</v>
      </c>
      <c r="H25" s="247" t="n">
        <v>0.0065</v>
      </c>
      <c r="I25" s="247" t="n">
        <v>0.0065</v>
      </c>
      <c r="J25" s="247" t="n">
        <v>0.0065</v>
      </c>
    </row>
    <row r="26" customFormat="false" ht="16.5" hidden="false" customHeight="true" outlineLevel="0" collapsed="false">
      <c r="B26" s="216"/>
      <c r="C26" s="216" t="s">
        <v>304</v>
      </c>
      <c r="D26" s="248" t="n">
        <v>0.03</v>
      </c>
      <c r="E26" s="248" t="n">
        <v>0.03</v>
      </c>
      <c r="F26" s="248" t="n">
        <v>0.03</v>
      </c>
      <c r="G26" s="248" t="n">
        <v>0.03</v>
      </c>
      <c r="H26" s="248" t="n">
        <v>0.03</v>
      </c>
      <c r="I26" s="248" t="n">
        <v>0.03</v>
      </c>
      <c r="J26" s="248" t="n">
        <v>0.03</v>
      </c>
    </row>
    <row r="27" customFormat="false" ht="16.5" hidden="false" customHeight="true" outlineLevel="0" collapsed="false">
      <c r="B27" s="216"/>
      <c r="C27" s="216" t="s">
        <v>248</v>
      </c>
      <c r="D27" s="248" t="n">
        <v>0.05</v>
      </c>
      <c r="E27" s="248" t="n">
        <v>0.04</v>
      </c>
      <c r="F27" s="247" t="n">
        <v>0.035</v>
      </c>
      <c r="G27" s="248" t="n">
        <v>0.03</v>
      </c>
      <c r="H27" s="248" t="n">
        <v>0.025</v>
      </c>
      <c r="I27" s="248" t="n">
        <v>0.02</v>
      </c>
      <c r="J27" s="247" t="n">
        <v>0.015</v>
      </c>
    </row>
    <row r="28" customFormat="false" ht="16.5" hidden="false" customHeight="true" outlineLevel="0" collapsed="false">
      <c r="B28" s="216"/>
      <c r="C28" s="216" t="s">
        <v>305</v>
      </c>
      <c r="D28" s="248" t="n">
        <v>0</v>
      </c>
      <c r="E28" s="248" t="n">
        <v>0</v>
      </c>
      <c r="F28" s="247" t="n">
        <v>0</v>
      </c>
      <c r="G28" s="248" t="n">
        <v>0</v>
      </c>
      <c r="H28" s="248" t="n">
        <v>0</v>
      </c>
      <c r="I28" s="248" t="n">
        <v>0</v>
      </c>
      <c r="J28" s="247" t="n">
        <v>0</v>
      </c>
    </row>
    <row r="29" customFormat="false" ht="19.5" hidden="false" customHeight="true" outlineLevel="0" collapsed="false">
      <c r="B29" s="116" t="s">
        <v>306</v>
      </c>
      <c r="C29" s="116"/>
      <c r="D29" s="249" t="n">
        <f aca="false">(((1+D22+D20+D23)*(1+D21)*(1+D24))/(1-(D25+D26+D27+D28))-1)</f>
        <v>0.262401597307061</v>
      </c>
      <c r="E29" s="249" t="n">
        <f aca="false">(((1+E22+E20+E23)*(1+E21)*(1+E24))/(1-(E25+E26+E27+E28))-1)</f>
        <v>0.248731845305902</v>
      </c>
      <c r="F29" s="249" t="n">
        <f aca="false">(((1+F22+F20+F23)*(1+F21)*(1+F24))/(1-(F25+F26+F27+F28))-1)</f>
        <v>0.24200738733441</v>
      </c>
      <c r="G29" s="249" t="n">
        <f aca="false">(((1+G22+G20+G23)*(1+G21)*(1+G24))/(1-(G25+G26+G27+G28))-1)</f>
        <v>0.235354964263524</v>
      </c>
      <c r="H29" s="249" t="n">
        <f aca="false">(((1+H22+H20+H23)*(1+H21)*(1+H24))/(1-(H25+H26+H27+H28))-1)</f>
        <v>0.22877342476292</v>
      </c>
      <c r="I29" s="249" t="n">
        <f aca="false">(((1+I22+I20+I23)*(1+I21)*(1+I24))/(1-(I25+I26+I27+I28))-1)</f>
        <v>0.22226164190779</v>
      </c>
      <c r="J29" s="249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50" t="s">
        <v>307</v>
      </c>
      <c r="C30" s="250"/>
      <c r="D30" s="251" t="n">
        <f aca="false">ROUND(D29,4)</f>
        <v>0.2624</v>
      </c>
      <c r="E30" s="251" t="n">
        <f aca="false">ROUND(E29,4)</f>
        <v>0.2487</v>
      </c>
      <c r="F30" s="251" t="n">
        <f aca="false">ROUND(F29,4)</f>
        <v>0.242</v>
      </c>
      <c r="G30" s="251" t="n">
        <f aca="false">ROUND(G29,4)</f>
        <v>0.2354</v>
      </c>
      <c r="H30" s="251" t="n">
        <f aca="false">ROUND(H29,4)</f>
        <v>0.2288</v>
      </c>
      <c r="I30" s="251" t="n">
        <f aca="false">ROUND(I29,4)</f>
        <v>0.2223</v>
      </c>
      <c r="J30" s="251" t="n">
        <f aca="false">ROUND(J29,4)</f>
        <v>0.2158</v>
      </c>
    </row>
    <row r="31" customFormat="false" ht="24.75" hidden="false" customHeight="true" outlineLevel="0" collapsed="false">
      <c r="B31" s="252"/>
      <c r="C31" s="252"/>
      <c r="D31" s="84"/>
      <c r="E31" s="84"/>
      <c r="F31" s="84"/>
      <c r="G31" s="84"/>
      <c r="H31" s="84"/>
      <c r="I31" s="84"/>
      <c r="J31" s="84"/>
    </row>
    <row r="32" customFormat="false" ht="16.5" hidden="false" customHeight="true" outlineLevel="0" collapsed="false">
      <c r="B32" s="33" t="s">
        <v>308</v>
      </c>
      <c r="C32" s="33"/>
      <c r="D32" s="239" t="s">
        <v>248</v>
      </c>
      <c r="E32" s="239" t="s">
        <v>248</v>
      </c>
      <c r="F32" s="239" t="s">
        <v>248</v>
      </c>
      <c r="G32" s="240" t="s">
        <v>248</v>
      </c>
      <c r="H32" s="241" t="s">
        <v>248</v>
      </c>
      <c r="I32" s="241" t="s">
        <v>248</v>
      </c>
      <c r="J32" s="241" t="s">
        <v>248</v>
      </c>
    </row>
    <row r="33" customFormat="false" ht="16.5" hidden="false" customHeight="true" outlineLevel="0" collapsed="false">
      <c r="B33" s="33"/>
      <c r="C33" s="33"/>
      <c r="D33" s="242" t="n">
        <v>0.05</v>
      </c>
      <c r="E33" s="242" t="n">
        <v>0.04</v>
      </c>
      <c r="F33" s="242" t="n">
        <v>0.035</v>
      </c>
      <c r="G33" s="243" t="n">
        <v>0.03</v>
      </c>
      <c r="H33" s="244" t="n">
        <v>0.025</v>
      </c>
      <c r="I33" s="244" t="n">
        <v>0.02</v>
      </c>
      <c r="J33" s="244" t="n">
        <v>0.015</v>
      </c>
    </row>
    <row r="34" customFormat="false" ht="16.5" hidden="false" customHeight="true" outlineLevel="0" collapsed="false">
      <c r="B34" s="216" t="s">
        <v>293</v>
      </c>
      <c r="C34" s="245" t="s">
        <v>294</v>
      </c>
      <c r="D34" s="247" t="n">
        <v>0.0345</v>
      </c>
      <c r="E34" s="247" t="n">
        <v>0.0345</v>
      </c>
      <c r="F34" s="247" t="n">
        <v>0.0345</v>
      </c>
      <c r="G34" s="247" t="n">
        <v>0.0345</v>
      </c>
      <c r="H34" s="247" t="n">
        <v>0.0345</v>
      </c>
      <c r="I34" s="247" t="n">
        <v>0.0345</v>
      </c>
      <c r="J34" s="247" t="n">
        <v>0.0345</v>
      </c>
    </row>
    <row r="35" customFormat="false" ht="16.5" hidden="false" customHeight="true" outlineLevel="0" collapsed="false">
      <c r="B35" s="216" t="s">
        <v>295</v>
      </c>
      <c r="C35" s="223" t="s">
        <v>296</v>
      </c>
      <c r="D35" s="247" t="n">
        <v>0.0085</v>
      </c>
      <c r="E35" s="247" t="n">
        <v>0.0085</v>
      </c>
      <c r="F35" s="247" t="n">
        <v>0.0085</v>
      </c>
      <c r="G35" s="247" t="n">
        <v>0.0085</v>
      </c>
      <c r="H35" s="247" t="n">
        <v>0.0085</v>
      </c>
      <c r="I35" s="247" t="n">
        <v>0.0085</v>
      </c>
      <c r="J35" s="247" t="n">
        <v>0.0085</v>
      </c>
    </row>
    <row r="36" customFormat="false" ht="16.5" hidden="false" customHeight="true" outlineLevel="0" collapsed="false">
      <c r="B36" s="216" t="s">
        <v>297</v>
      </c>
      <c r="C36" s="223" t="s">
        <v>298</v>
      </c>
      <c r="D36" s="247" t="n">
        <v>0.0048</v>
      </c>
      <c r="E36" s="247" t="n">
        <v>0.0048</v>
      </c>
      <c r="F36" s="247" t="n">
        <v>0.0048</v>
      </c>
      <c r="G36" s="247" t="n">
        <v>0.0048</v>
      </c>
      <c r="H36" s="247" t="n">
        <v>0.0048</v>
      </c>
      <c r="I36" s="247" t="n">
        <v>0.0048</v>
      </c>
      <c r="J36" s="247" t="n">
        <v>0.0048</v>
      </c>
    </row>
    <row r="37" customFormat="false" ht="16.5" hidden="false" customHeight="true" outlineLevel="0" collapsed="false">
      <c r="B37" s="216" t="s">
        <v>299</v>
      </c>
      <c r="C37" s="223" t="s">
        <v>300</v>
      </c>
      <c r="D37" s="247" t="n">
        <v>0.0085</v>
      </c>
      <c r="E37" s="247" t="n">
        <v>0.0085</v>
      </c>
      <c r="F37" s="247" t="n">
        <v>0.0085</v>
      </c>
      <c r="G37" s="247" t="n">
        <v>0.0085</v>
      </c>
      <c r="H37" s="247" t="n">
        <v>0.0085</v>
      </c>
      <c r="I37" s="247" t="n">
        <v>0.0085</v>
      </c>
      <c r="J37" s="247" t="n">
        <v>0.0085</v>
      </c>
    </row>
    <row r="38" customFormat="false" ht="16.5" hidden="false" customHeight="true" outlineLevel="0" collapsed="false">
      <c r="B38" s="216" t="s">
        <v>301</v>
      </c>
      <c r="C38" s="223" t="s">
        <v>302</v>
      </c>
      <c r="D38" s="247" t="n">
        <v>0.0511</v>
      </c>
      <c r="E38" s="247" t="n">
        <v>0.0511</v>
      </c>
      <c r="F38" s="247" t="n">
        <v>0.0511</v>
      </c>
      <c r="G38" s="247" t="n">
        <v>0.0511</v>
      </c>
      <c r="H38" s="247" t="n">
        <v>0.0511</v>
      </c>
      <c r="I38" s="247" t="n">
        <v>0.0511</v>
      </c>
      <c r="J38" s="247" t="n">
        <v>0.0511</v>
      </c>
    </row>
    <row r="39" customFormat="false" ht="16.5" hidden="false" customHeight="true" outlineLevel="0" collapsed="false">
      <c r="B39" s="216" t="s">
        <v>198</v>
      </c>
      <c r="C39" s="223" t="s">
        <v>303</v>
      </c>
      <c r="D39" s="247" t="n">
        <v>0.0065</v>
      </c>
      <c r="E39" s="247" t="n">
        <v>0.0065</v>
      </c>
      <c r="F39" s="247" t="n">
        <v>0.0065</v>
      </c>
      <c r="G39" s="247" t="n">
        <v>0.0065</v>
      </c>
      <c r="H39" s="247" t="n">
        <v>0.0065</v>
      </c>
      <c r="I39" s="247" t="n">
        <v>0.0065</v>
      </c>
      <c r="J39" s="247" t="n">
        <v>0.0065</v>
      </c>
    </row>
    <row r="40" customFormat="false" ht="16.5" hidden="false" customHeight="true" outlineLevel="0" collapsed="false">
      <c r="B40" s="216"/>
      <c r="C40" s="216" t="s">
        <v>304</v>
      </c>
      <c r="D40" s="248" t="n">
        <v>0.03</v>
      </c>
      <c r="E40" s="248" t="n">
        <v>0.03</v>
      </c>
      <c r="F40" s="248" t="n">
        <v>0.03</v>
      </c>
      <c r="G40" s="248" t="n">
        <v>0.03</v>
      </c>
      <c r="H40" s="248" t="n">
        <v>0.03</v>
      </c>
      <c r="I40" s="248" t="n">
        <v>0.03</v>
      </c>
      <c r="J40" s="248" t="n">
        <v>0.03</v>
      </c>
    </row>
    <row r="41" customFormat="false" ht="16.5" hidden="false" customHeight="true" outlineLevel="0" collapsed="false">
      <c r="B41" s="216"/>
      <c r="C41" s="216" t="s">
        <v>248</v>
      </c>
      <c r="D41" s="248" t="n">
        <v>0</v>
      </c>
      <c r="E41" s="248" t="n">
        <v>0</v>
      </c>
      <c r="F41" s="247" t="n">
        <v>0</v>
      </c>
      <c r="G41" s="248" t="n">
        <v>0</v>
      </c>
      <c r="H41" s="248" t="n">
        <v>0</v>
      </c>
      <c r="I41" s="248" t="n">
        <v>0</v>
      </c>
      <c r="J41" s="247" t="n">
        <v>0</v>
      </c>
    </row>
    <row r="42" customFormat="false" ht="16.5" hidden="false" customHeight="true" outlineLevel="0" collapsed="false">
      <c r="B42" s="216"/>
      <c r="C42" s="216" t="s">
        <v>305</v>
      </c>
      <c r="D42" s="248" t="n">
        <v>0</v>
      </c>
      <c r="E42" s="248" t="n">
        <v>0</v>
      </c>
      <c r="F42" s="247" t="n">
        <v>0</v>
      </c>
      <c r="G42" s="248" t="n">
        <v>0</v>
      </c>
      <c r="H42" s="248" t="n">
        <v>0</v>
      </c>
      <c r="I42" s="248" t="n">
        <v>0</v>
      </c>
      <c r="J42" s="247" t="n">
        <v>0</v>
      </c>
    </row>
    <row r="43" customFormat="false" ht="16.5" hidden="false" customHeight="true" outlineLevel="0" collapsed="false">
      <c r="B43" s="135" t="s">
        <v>306</v>
      </c>
      <c r="C43" s="135"/>
      <c r="D43" s="249" t="n">
        <f aca="false">(((1+D36+D34+D37)*(1+D35)*(1+D38))/(1-(D39+D40+D41+D42))-1)</f>
        <v>0.152780479429164</v>
      </c>
      <c r="E43" s="249" t="n">
        <f aca="false">(((1+E36+E34+E37)*(1+E35)*(1+E38))/(1-(E39+E40+E41+E42))-1)</f>
        <v>0.152780479429164</v>
      </c>
      <c r="F43" s="249" t="n">
        <f aca="false">(((1+F36+F34+F37)*(1+F35)*(1+F38))/(1-(F39+F40+F41+F42))-1)</f>
        <v>0.152780479429164</v>
      </c>
      <c r="G43" s="249" t="n">
        <f aca="false">(((1+G36+G34+G37)*(1+G35)*(1+G38))/(1-(G39+G40+G41+G42))-1)</f>
        <v>0.152780479429164</v>
      </c>
      <c r="H43" s="249" t="n">
        <f aca="false">(((1+H36+H34+H37)*(1+H35)*(1+H38))/(1-(H39+H40+H41+H42))-1)</f>
        <v>0.152780479429164</v>
      </c>
      <c r="I43" s="249" t="n">
        <f aca="false">(((1+I36+I34+I37)*(1+I35)*(1+I38))/(1-(I39+I40+I41+I42))-1)</f>
        <v>0.152780479429164</v>
      </c>
      <c r="J43" s="249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53" t="s">
        <v>307</v>
      </c>
      <c r="C44" s="253"/>
      <c r="D44" s="251" t="n">
        <f aca="false">ROUND(D43,4)</f>
        <v>0.1528</v>
      </c>
      <c r="E44" s="251" t="n">
        <f aca="false">ROUND(E43,4)</f>
        <v>0.1528</v>
      </c>
      <c r="F44" s="251" t="n">
        <f aca="false">ROUND(F43,4)</f>
        <v>0.1528</v>
      </c>
      <c r="G44" s="251" t="n">
        <f aca="false">ROUND(G43,4)</f>
        <v>0.1528</v>
      </c>
      <c r="H44" s="251" t="n">
        <f aca="false">ROUND(H43,4)</f>
        <v>0.1528</v>
      </c>
      <c r="I44" s="251" t="n">
        <f aca="false">ROUND(I43,4)</f>
        <v>0.1528</v>
      </c>
      <c r="J44" s="251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2:IO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H24" activeCellId="0" sqref="H24"/>
    </sheetView>
  </sheetViews>
  <sheetFormatPr defaultColWidth="8.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7" width="9.12"/>
    <col collapsed="false" customWidth="true" hidden="false" outlineLevel="0" max="4" min="4" style="17" width="12.25"/>
    <col collapsed="false" customWidth="true" hidden="false" outlineLevel="0" max="5" min="5" style="17" width="13.62"/>
    <col collapsed="false" customWidth="true" hidden="false" outlineLevel="0" max="6" min="6" style="17" width="7"/>
    <col collapsed="false" customWidth="true" hidden="false" outlineLevel="0" max="7" min="7" style="17" width="11.88"/>
    <col collapsed="false" customWidth="true" hidden="false" outlineLevel="0" max="8" min="8" style="17" width="13.25"/>
    <col collapsed="false" customWidth="true" hidden="false" outlineLevel="0" max="9" min="9" style="17" width="12.76"/>
    <col collapsed="false" customWidth="true" hidden="false" outlineLevel="0" max="11" min="10" style="17" width="13"/>
    <col collapsed="false" customWidth="true" hidden="false" outlineLevel="0" max="13" min="12" style="17" width="9.25"/>
    <col collapsed="false" customWidth="true" hidden="false" outlineLevel="0" max="248" min="14" style="17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3" t="str">
        <f aca="false">"DIVISÃO DOS CUSTOS POR ALÍQUOTA DE ISSQN - "&amp;'Valor da Contratação'!B7&amp;""</f>
        <v>DIVISÃO DOS CUSTOS POR ALÍQUOTA DE ISSQN - POLO VII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customFormat="false" ht="16.5" hidden="false" customHeight="true" outlineLevel="0" collapsed="false"/>
    <row r="4" customFormat="false" ht="45.75" hidden="false" customHeight="true" outlineLevel="0" collapsed="false">
      <c r="B4" s="254" t="s">
        <v>41</v>
      </c>
      <c r="C4" s="255" t="s">
        <v>309</v>
      </c>
      <c r="D4" s="255" t="s">
        <v>310</v>
      </c>
      <c r="E4" s="255" t="s">
        <v>311</v>
      </c>
      <c r="F4" s="256"/>
      <c r="G4" s="255" t="s">
        <v>312</v>
      </c>
      <c r="H4" s="255" t="s">
        <v>313</v>
      </c>
      <c r="I4" s="255" t="s">
        <v>314</v>
      </c>
      <c r="J4" s="255" t="s">
        <v>315</v>
      </c>
      <c r="K4" s="255" t="s">
        <v>316</v>
      </c>
      <c r="L4" s="255" t="s">
        <v>317</v>
      </c>
      <c r="M4" s="255" t="s">
        <v>318</v>
      </c>
    </row>
    <row r="5" customFormat="false" ht="15" hidden="false" customHeight="true" outlineLevel="0" collapsed="false">
      <c r="B5" s="110" t="str">
        <f aca="false">'Base Porto Alegre'!B7</f>
        <v>APS ESTEIO</v>
      </c>
      <c r="C5" s="257" t="n">
        <f aca="false">VLOOKUP(B5,Unidades!$D$5:$G$27,4,)</f>
        <v>0.02</v>
      </c>
      <c r="D5" s="258" t="n">
        <f aca="false">'Base Porto Alegre'!AD7*12+'Base Porto Alegre'!AE7*4+'Base Porto Alegre'!AF7*2+'Base Porto Alegre'!AG7</f>
        <v>11367.1766814674</v>
      </c>
      <c r="E5" s="258" t="n">
        <f aca="false">'Base Porto Alegre'!AK7*12+'Base Porto Alegre'!AL7*4+'Base Porto Alegre'!AM7*2+'Base Porto Alegre'!AN7</f>
        <v>13894.1000577576</v>
      </c>
      <c r="G5" s="248" t="n">
        <v>0.02</v>
      </c>
      <c r="H5" s="259" t="n">
        <f aca="false">SUMIF(C$5:C$26,G5,D$5:D$26)</f>
        <v>85356.9192756159</v>
      </c>
      <c r="I5" s="259" t="n">
        <f aca="false">SUMIF(C$5:C$26,G5,E$5:E$26)</f>
        <v>104331.762430585</v>
      </c>
      <c r="J5" s="259" t="n">
        <f aca="false">H5*4</f>
        <v>341427.677102464</v>
      </c>
      <c r="K5" s="259" t="n">
        <f aca="false">I5*4</f>
        <v>417327.049722341</v>
      </c>
      <c r="L5" s="260" t="n">
        <f aca="false">H5/H$13</f>
        <v>0.260189209107973</v>
      </c>
      <c r="M5" s="260" t="n">
        <f aca="false">I5/I$13</f>
        <v>0.256826584635827</v>
      </c>
    </row>
    <row r="6" customFormat="false" ht="15" hidden="false" customHeight="true" outlineLevel="0" collapsed="false">
      <c r="B6" s="110" t="str">
        <f aca="false">'Base Porto Alegre'!B9</f>
        <v>APS GRAVATAÍ</v>
      </c>
      <c r="C6" s="257" t="n">
        <f aca="false">VLOOKUP(B6,Unidades!$D$5:$G$27,4,)</f>
        <v>0.025</v>
      </c>
      <c r="D6" s="258" t="n">
        <f aca="false">'Base Porto Alegre'!AD9*12+'Base Porto Alegre'!AE9*4+'Base Porto Alegre'!AF9*2+'Base Porto Alegre'!AG9</f>
        <v>11606.349370534</v>
      </c>
      <c r="E6" s="258" t="n">
        <f aca="false">'Base Porto Alegre'!AK9*12+'Base Porto Alegre'!AL9*4+'Base Porto Alegre'!AM9*2+'Base Porto Alegre'!AN9</f>
        <v>14261.8821065122</v>
      </c>
      <c r="G6" s="248" t="n">
        <v>0.025</v>
      </c>
      <c r="H6" s="259" t="n">
        <f aca="false">SUMIF(C$5:C$26,G6,D$5:D$26)</f>
        <v>11606.349370534</v>
      </c>
      <c r="I6" s="259" t="n">
        <f aca="false">SUMIF(C$5:C$26,G6,E$5:E$26)</f>
        <v>14261.8821065122</v>
      </c>
      <c r="J6" s="259" t="n">
        <f aca="false">H6*4</f>
        <v>46425.3974821361</v>
      </c>
      <c r="K6" s="259" t="n">
        <f aca="false">I6*4</f>
        <v>57047.5284260488</v>
      </c>
      <c r="L6" s="260" t="n">
        <f aca="false">H6/H$13</f>
        <v>0.0353790517391923</v>
      </c>
      <c r="M6" s="260" t="n">
        <f aca="false">I6/I$13</f>
        <v>0.0351075299272484</v>
      </c>
    </row>
    <row r="7" customFormat="false" ht="15" hidden="false" customHeight="true" outlineLevel="0" collapsed="false">
      <c r="B7" s="110" t="str">
        <f aca="false">'Base Porto Alegre'!B10</f>
        <v>APS GUAÍBA</v>
      </c>
      <c r="C7" s="257" t="n">
        <f aca="false">VLOOKUP(B7,Unidades!$D$5:$G$27,4,)</f>
        <v>0.02</v>
      </c>
      <c r="D7" s="258" t="n">
        <f aca="false">'Base Porto Alegre'!AD10*12+'Base Porto Alegre'!AE10*4+'Base Porto Alegre'!AF10*2+'Base Porto Alegre'!AG10</f>
        <v>10595.7953702907</v>
      </c>
      <c r="E7" s="258" t="n">
        <f aca="false">'Base Porto Alegre'!AK10*12+'Base Porto Alegre'!AL10*4+'Base Porto Alegre'!AM10*2+'Base Porto Alegre'!AN10</f>
        <v>12951.2406811063</v>
      </c>
      <c r="G7" s="248" t="n">
        <v>0.03</v>
      </c>
      <c r="H7" s="259" t="n">
        <f aca="false">SUMIF(C$5:C$26,G7,D$5:D$26)</f>
        <v>62532.4634827222</v>
      </c>
      <c r="I7" s="259" t="n">
        <f aca="false">SUMIF(C$5:C$26,G7,E$5:E$26)</f>
        <v>77252.605386555</v>
      </c>
      <c r="J7" s="259" t="n">
        <f aca="false">H7*4</f>
        <v>250129.853930889</v>
      </c>
      <c r="K7" s="259" t="n">
        <f aca="false">I7*4</f>
        <v>309010.42154622</v>
      </c>
      <c r="L7" s="260" t="n">
        <f aca="false">H7/H$13</f>
        <v>0.190614567105056</v>
      </c>
      <c r="M7" s="260" t="n">
        <f aca="false">I7/I$13</f>
        <v>0.190167618503029</v>
      </c>
    </row>
    <row r="8" customFormat="false" ht="15" hidden="false" customHeight="true" outlineLevel="0" collapsed="false">
      <c r="B8" s="110" t="str">
        <f aca="false">'Base Porto Alegre'!B11</f>
        <v>CEDOCPREV CANOAS</v>
      </c>
      <c r="C8" s="257" t="n">
        <f aca="false">VLOOKUP(B8,Unidades!$D$5:$G$27,4,)</f>
        <v>0.03</v>
      </c>
      <c r="D8" s="258" t="n">
        <f aca="false">'Base Porto Alegre'!AD11*12+'Base Porto Alegre'!AE11*4+'Base Porto Alegre'!AF11*2+'Base Porto Alegre'!AG11</f>
        <v>6755.1032483963</v>
      </c>
      <c r="E8" s="258" t="n">
        <f aca="false">'Base Porto Alegre'!AK11*12+'Base Porto Alegre'!AL11*4+'Base Porto Alegre'!AM11*2+'Base Porto Alegre'!AN11</f>
        <v>8345.25455306879</v>
      </c>
      <c r="G8" s="248" t="n">
        <v>0.035</v>
      </c>
      <c r="H8" s="259" t="n">
        <f aca="false">SUMIF(C$5:C$26,G8,D$5:D$26)</f>
        <v>14113.4410357993</v>
      </c>
      <c r="I8" s="259" t="n">
        <f aca="false">SUMIF(C$5:C$26,G8,E$5:E$26)</f>
        <v>17528.8937664627</v>
      </c>
      <c r="J8" s="259" t="n">
        <f aca="false">H8*4</f>
        <v>56453.7641431972</v>
      </c>
      <c r="K8" s="259" t="n">
        <f aca="false">I8*4</f>
        <v>70115.5750658509</v>
      </c>
      <c r="L8" s="260" t="n">
        <f aca="false">H8/H$13</f>
        <v>0.0430212933182286</v>
      </c>
      <c r="M8" s="260" t="n">
        <f aca="false">I8/I$13</f>
        <v>0.0431497159983287</v>
      </c>
    </row>
    <row r="9" s="30" customFormat="true" ht="15" hidden="false" customHeight="true" outlineLevel="0" collapsed="false">
      <c r="B9" s="110" t="str">
        <f aca="false">'Base Porto Alegre'!B12</f>
        <v>DEPÓSITO ESTEIO</v>
      </c>
      <c r="C9" s="257" t="n">
        <f aca="false">VLOOKUP(B9,Unidades!$D$5:$G$27,4,)</f>
        <v>0.02</v>
      </c>
      <c r="D9" s="258" t="n">
        <f aca="false">'Base Porto Alegre'!AD12*12+'Base Porto Alegre'!AE12*4+'Base Porto Alegre'!AF12*2+'Base Porto Alegre'!AG12</f>
        <v>6918.1755363963</v>
      </c>
      <c r="E9" s="258" t="n">
        <f aca="false">'Base Porto Alegre'!AK12*12+'Base Porto Alegre'!AL12*4+'Base Porto Alegre'!AM12*2+'Base Porto Alegre'!AN12</f>
        <v>8456.0859581372</v>
      </c>
      <c r="G9" s="248" t="n">
        <v>0.04</v>
      </c>
      <c r="H9" s="259" t="n">
        <f aca="false">SUMIF(C$5:C$26,G9,D$5:D$26)</f>
        <v>154447.934077599</v>
      </c>
      <c r="I9" s="259" t="n">
        <f aca="false">SUMIF(C$5:C$26,G9,E$5:E$26)</f>
        <v>192859.135282698</v>
      </c>
      <c r="J9" s="259" t="n">
        <f aca="false">H9*4</f>
        <v>617791.736310396</v>
      </c>
      <c r="K9" s="259" t="n">
        <f aca="false">I9*4</f>
        <v>771436.541130791</v>
      </c>
      <c r="L9" s="260" t="n">
        <f aca="false">H9/H$13</f>
        <v>0.47079587872955</v>
      </c>
      <c r="M9" s="260" t="n">
        <f aca="false">I9/I$13</f>
        <v>0.474748550935567</v>
      </c>
      <c r="IO9" s="34"/>
    </row>
    <row r="10" s="30" customFormat="true" ht="15" hidden="false" customHeight="true" outlineLevel="0" collapsed="false">
      <c r="B10" s="110" t="str">
        <f aca="false">'Base Porto Alegre'!B13</f>
        <v>GEX/APS CANOAS</v>
      </c>
      <c r="C10" s="257" t="n">
        <f aca="false">VLOOKUP(B10,Unidades!$D$5:$G$27,4,)</f>
        <v>0.03</v>
      </c>
      <c r="D10" s="258" t="n">
        <f aca="false">'Base Porto Alegre'!AD13*12+'Base Porto Alegre'!AE13*4+'Base Porto Alegre'!AF13*2+'Base Porto Alegre'!AG13</f>
        <v>15406.653668576</v>
      </c>
      <c r="E10" s="258" t="n">
        <f aca="false">'Base Porto Alegre'!AK13*12+'Base Porto Alegre'!AL13*4+'Base Porto Alegre'!AM13*2+'Base Porto Alegre'!AN13</f>
        <v>19033.3799421588</v>
      </c>
      <c r="G10" s="248" t="n">
        <v>0.045</v>
      </c>
      <c r="H10" s="259" t="n">
        <f aca="false">SUMIF(C$5:C$26,G10,D$5:D$26)</f>
        <v>0</v>
      </c>
      <c r="I10" s="259" t="n">
        <f aca="false">SUMIF(C$5:C$26,G10,E$5:E$26)</f>
        <v>0</v>
      </c>
      <c r="J10" s="259" t="n">
        <f aca="false">H10*4</f>
        <v>0</v>
      </c>
      <c r="K10" s="259" t="n">
        <f aca="false">I10*4</f>
        <v>0</v>
      </c>
      <c r="L10" s="260" t="n">
        <f aca="false">H10/H$13</f>
        <v>0</v>
      </c>
      <c r="M10" s="260" t="n">
        <f aca="false">I10/I$13</f>
        <v>0</v>
      </c>
      <c r="IO10" s="34"/>
    </row>
    <row r="11" customFormat="false" ht="15" hidden="false" customHeight="true" outlineLevel="0" collapsed="false">
      <c r="B11" s="110" t="str">
        <f aca="false">'Base Porto Alegre'!B14</f>
        <v>APS ALVORADA</v>
      </c>
      <c r="C11" s="257" t="n">
        <f aca="false">VLOOKUP(B11,Unidades!$D$5:$G$27,4,)</f>
        <v>0.03</v>
      </c>
      <c r="D11" s="258" t="n">
        <f aca="false">'Base Porto Alegre'!AD14*12+'Base Porto Alegre'!AE14*4+'Base Porto Alegre'!AF14*2+'Base Porto Alegre'!AG14</f>
        <v>7461.74982972963</v>
      </c>
      <c r="E11" s="258" t="n">
        <f aca="false">'Base Porto Alegre'!AK14*12+'Base Porto Alegre'!AL14*4+'Base Porto Alegre'!AM14*2+'Base Porto Alegre'!AN14</f>
        <v>9218.24573964799</v>
      </c>
      <c r="G11" s="248" t="n">
        <v>0.05</v>
      </c>
      <c r="H11" s="259" t="n">
        <f aca="false">SUMIF(C$5:C$26,G11,D$5:D$26)</f>
        <v>0</v>
      </c>
      <c r="I11" s="259" t="n">
        <f aca="false">SUMIF(C$5:C$26,G11,E$5:E$26)</f>
        <v>0</v>
      </c>
      <c r="J11" s="259" t="n">
        <f aca="false">H11*4</f>
        <v>0</v>
      </c>
      <c r="K11" s="259" t="n">
        <f aca="false">I11*4</f>
        <v>0</v>
      </c>
      <c r="L11" s="260" t="n">
        <f aca="false">H11/H$13</f>
        <v>0</v>
      </c>
      <c r="M11" s="260" t="n">
        <f aca="false">I11/I$13</f>
        <v>0</v>
      </c>
    </row>
    <row r="12" customFormat="false" ht="15" hidden="false" customHeight="true" outlineLevel="0" collapsed="false">
      <c r="B12" s="110" t="str">
        <f aca="false">'Base Porto Alegre'!B15</f>
        <v>APS PORTO ALEGRE- CENTRO</v>
      </c>
      <c r="C12" s="257" t="n">
        <f aca="false">VLOOKUP(B12,Unidades!$D$5:$G$27,4,)</f>
        <v>0.04</v>
      </c>
      <c r="D12" s="258" t="n">
        <f aca="false">'Base Porto Alegre'!AD15*12+'Base Porto Alegre'!AE15*4+'Base Porto Alegre'!AF15*2+'Base Porto Alegre'!AG15</f>
        <v>10932.3172468007</v>
      </c>
      <c r="E12" s="258" t="n">
        <f aca="false">'Base Porto Alegre'!AK15*12+'Base Porto Alegre'!AL15*4+'Base Porto Alegre'!AM15*2+'Base Porto Alegre'!AN15</f>
        <v>13651.18454608</v>
      </c>
      <c r="G12" s="18"/>
    </row>
    <row r="13" s="17" customFormat="true" ht="15" hidden="false" customHeight="true" outlineLevel="0" collapsed="false">
      <c r="B13" s="110" t="str">
        <f aca="false">'Base Porto Alegre'!B16</f>
        <v>APS PORTO ALEGRE-PARTENON</v>
      </c>
      <c r="C13" s="257" t="n">
        <f aca="false">VLOOKUP(B13,Unidades!$D$5:$G$27,4,)</f>
        <v>0.04</v>
      </c>
      <c r="D13" s="258" t="n">
        <f aca="false">'Base Porto Alegre'!AD16*12+'Base Porto Alegre'!AE16*4+'Base Porto Alegre'!AF16*2+'Base Porto Alegre'!AG16</f>
        <v>52957.8099978871</v>
      </c>
      <c r="E13" s="258" t="n">
        <f aca="false">'Base Porto Alegre'!AK16*12+'Base Porto Alegre'!AL16*4+'Base Porto Alegre'!AM16*2+'Base Porto Alegre'!AN16</f>
        <v>66128.4173443617</v>
      </c>
      <c r="G13" s="255" t="s">
        <v>100</v>
      </c>
      <c r="H13" s="261" t="n">
        <f aca="false">SUM(H5:H11)</f>
        <v>328057.10724227</v>
      </c>
      <c r="I13" s="261" t="n">
        <f aca="false">SUM(I5:I11)</f>
        <v>406234.278972813</v>
      </c>
      <c r="J13" s="261" t="n">
        <f aca="false">SUM(J5:J11)</f>
        <v>1312228.42896908</v>
      </c>
      <c r="K13" s="261" t="n">
        <f aca="false">SUM(K5:K11)</f>
        <v>1624937.11589125</v>
      </c>
      <c r="L13" s="262" t="n">
        <f aca="false">SUM(L5:L11)</f>
        <v>1</v>
      </c>
      <c r="M13" s="262" t="n">
        <f aca="false">SUM(M5:M11)</f>
        <v>1</v>
      </c>
    </row>
    <row r="14" s="17" customFormat="true" ht="15" hidden="false" customHeight="true" outlineLevel="0" collapsed="false">
      <c r="B14" s="110" t="str">
        <f aca="false">'Base Porto Alegre'!B17</f>
        <v>APS PORTO ALEGRE-SUL</v>
      </c>
      <c r="C14" s="257" t="n">
        <f aca="false">VLOOKUP(B14,Unidades!$D$5:$G$27,4,)</f>
        <v>0.04</v>
      </c>
      <c r="D14" s="258" t="n">
        <f aca="false">'Base Porto Alegre'!AD17*12+'Base Porto Alegre'!AE17*4+'Base Porto Alegre'!AF17*2+'Base Porto Alegre'!AG17</f>
        <v>7972.68941113633</v>
      </c>
      <c r="E14" s="258" t="n">
        <f aca="false">'Base Porto Alegre'!AK17*12+'Base Porto Alegre'!AL17*4+'Base Porto Alegre'!AM17*2+'Base Porto Alegre'!AN17</f>
        <v>9955.49726768593</v>
      </c>
    </row>
    <row r="15" s="17" customFormat="true" ht="15" hidden="false" customHeight="true" outlineLevel="0" collapsed="false">
      <c r="B15" s="110" t="str">
        <f aca="false">'Base Porto Alegre'!B18</f>
        <v>CEDOCPREV PORTO ALEGRE</v>
      </c>
      <c r="C15" s="257" t="n">
        <f aca="false">VLOOKUP(B15,Unidades!$D$5:$G$27,4,)</f>
        <v>0.04</v>
      </c>
      <c r="D15" s="258" t="n">
        <f aca="false">'Base Porto Alegre'!AD18*12+'Base Porto Alegre'!AE18*4+'Base Porto Alegre'!AF18*2+'Base Porto Alegre'!AG18</f>
        <v>11388.9196532007</v>
      </c>
      <c r="E15" s="258" t="n">
        <f aca="false">'Base Porto Alegre'!AK18*12+'Base Porto Alegre'!AL18*4+'Base Porto Alegre'!AM18*2+'Base Porto Alegre'!AN18</f>
        <v>14221.3439709517</v>
      </c>
    </row>
    <row r="16" s="17" customFormat="true" ht="15" hidden="false" customHeight="true" outlineLevel="0" collapsed="false">
      <c r="B16" s="110" t="str">
        <f aca="false">'Base Porto Alegre'!B19</f>
        <v>GEX PORTO ALEGRE</v>
      </c>
      <c r="C16" s="257" t="n">
        <f aca="false">VLOOKUP(B16,Unidades!$D$5:$G$27,4,)</f>
        <v>0.04</v>
      </c>
      <c r="D16" s="258" t="n">
        <f aca="false">'Base Porto Alegre'!AD19*12+'Base Porto Alegre'!AE19*4+'Base Porto Alegre'!AF19*2+'Base Porto Alegre'!AG19</f>
        <v>52762.1232522871</v>
      </c>
      <c r="E16" s="258" t="n">
        <f aca="false">'Base Porto Alegre'!AK19*12+'Base Porto Alegre'!AL19*4+'Base Porto Alegre'!AM19*2+'Base Porto Alegre'!AN19</f>
        <v>65884.0633051309</v>
      </c>
    </row>
    <row r="17" s="17" customFormat="true" ht="15" hidden="false" customHeight="true" outlineLevel="0" collapsed="false">
      <c r="B17" s="110" t="str">
        <f aca="false">'Base Porto Alegre'!B20</f>
        <v>IPASE PORTO ALEGRE</v>
      </c>
      <c r="C17" s="257" t="n">
        <f aca="false">VLOOKUP(B17,Unidades!$D$5:$G$27,4,)</f>
        <v>0.04</v>
      </c>
      <c r="D17" s="258" t="n">
        <f aca="false">'Base Porto Alegre'!AD20*12+'Base Porto Alegre'!AE20*4+'Base Porto Alegre'!AF20*2+'Base Porto Alegre'!AG20</f>
        <v>9421.67489669065</v>
      </c>
      <c r="E17" s="258" t="n">
        <f aca="false">'Base Porto Alegre'!AK20*12+'Base Porto Alegre'!AL20*4+'Base Porto Alegre'!AM20*2+'Base Porto Alegre'!AN20</f>
        <v>11764.8454434976</v>
      </c>
    </row>
    <row r="18" s="17" customFormat="true" ht="15" hidden="false" customHeight="true" outlineLevel="0" collapsed="false">
      <c r="B18" s="110" t="str">
        <f aca="false">'Base Pelotas'!B7</f>
        <v>APS CAMAQUÃ</v>
      </c>
      <c r="C18" s="257" t="n">
        <f aca="false">VLOOKUP(B18,Unidades!$D$5:$G$27,4,)</f>
        <v>0.02</v>
      </c>
      <c r="D18" s="258" t="n">
        <f aca="false">'Base Pelotas'!AD7*12+'Base Pelotas'!AE7*4+'Base Pelotas'!AF7*2+'Base Pelotas'!AG7</f>
        <v>14809.033165803</v>
      </c>
      <c r="E18" s="258" t="n">
        <f aca="false">'Base Pelotas'!AK7*12+'Base Pelotas'!AL7*4+'Base Pelotas'!AM7*2+'Base Pelotas'!AN7</f>
        <v>18101.081238561</v>
      </c>
    </row>
    <row r="19" s="30" customFormat="true" ht="15" hidden="false" customHeight="true" outlineLevel="0" collapsed="false">
      <c r="B19" s="110" t="str">
        <f aca="false">'Base Pelotas'!B8</f>
        <v>APS CAPÃO DO LEÃO</v>
      </c>
      <c r="C19" s="257" t="n">
        <f aca="false">VLOOKUP(B19,Unidades!$D$5:$G$27,4,)</f>
        <v>0.02</v>
      </c>
      <c r="D19" s="258" t="n">
        <f aca="false">'Base Pelotas'!AD8*12+'Base Pelotas'!AE8*4+'Base Pelotas'!AF8*2+'Base Pelotas'!AG8</f>
        <v>6776.84622012963</v>
      </c>
      <c r="E19" s="258" t="n">
        <f aca="false">'Base Pelotas'!AK8*12+'Base Pelotas'!AL8*4+'Base Pelotas'!AM8*2+'Base Pelotas'!AN8</f>
        <v>8283.33913486445</v>
      </c>
    </row>
    <row r="20" s="17" customFormat="true" ht="15" hidden="false" customHeight="true" outlineLevel="0" collapsed="false">
      <c r="B20" s="110" t="str">
        <f aca="false">'Base Pelotas'!B9</f>
        <v>APS JAGUARÃO</v>
      </c>
      <c r="C20" s="257" t="n">
        <f aca="false">VLOOKUP(B20,Unidades!$D$5:$G$27,4,)</f>
        <v>0.02</v>
      </c>
      <c r="D20" s="258" t="n">
        <f aca="false">'Base Pelotas'!AD9*12+'Base Pelotas'!AE9*4+'Base Pelotas'!AF9*2+'Base Pelotas'!AG9</f>
        <v>11777.7094644697</v>
      </c>
      <c r="E20" s="258" t="n">
        <f aca="false">'Base Pelotas'!AK9*12+'Base Pelotas'!AL9*4+'Base Pelotas'!AM9*2+'Base Pelotas'!AN9</f>
        <v>14395.8942784213</v>
      </c>
    </row>
    <row r="21" customFormat="false" ht="15" hidden="false" customHeight="true" outlineLevel="0" collapsed="false">
      <c r="B21" s="110" t="str">
        <f aca="false">'Base Pelotas'!B10</f>
        <v>APS RIO GRANDE</v>
      </c>
      <c r="C21" s="257" t="n">
        <f aca="false">VLOOKUP(B21,Unidades!$D$5:$G$27,4,)</f>
        <v>0.03</v>
      </c>
      <c r="D21" s="258" t="n">
        <f aca="false">'Base Pelotas'!AD10*12+'Base Pelotas'!AE10*4+'Base Pelotas'!AF10*2+'Base Pelotas'!AG10</f>
        <v>12146.4451601573</v>
      </c>
      <c r="E21" s="258" t="n">
        <f aca="false">'Base Pelotas'!AK10*12+'Base Pelotas'!AL10*4+'Base Pelotas'!AM10*2+'Base Pelotas'!AN10</f>
        <v>15005.7183508584</v>
      </c>
    </row>
    <row r="22" customFormat="false" ht="15" hidden="false" customHeight="true" outlineLevel="0" collapsed="false">
      <c r="B22" s="110" t="str">
        <f aca="false">'Base Pelotas'!B11</f>
        <v>APS SANTA VITÓRIA DO PALMAR</v>
      </c>
      <c r="C22" s="257" t="n">
        <f aca="false">VLOOKUP(B22,Unidades!$D$5:$G$27,4,)</f>
        <v>0.03</v>
      </c>
      <c r="D22" s="258" t="n">
        <f aca="false">'Base Pelotas'!AD11*12+'Base Pelotas'!AE11*4+'Base Pelotas'!AF11*2+'Base Pelotas'!AG11</f>
        <v>20762.511575863</v>
      </c>
      <c r="E22" s="258" t="n">
        <f aca="false">'Base Pelotas'!AK11*12+'Base Pelotas'!AL11*4+'Base Pelotas'!AM11*2+'Base Pelotas'!AN11</f>
        <v>25650.0068008211</v>
      </c>
    </row>
    <row r="23" customFormat="false" ht="15" hidden="false" customHeight="true" outlineLevel="0" collapsed="false">
      <c r="B23" s="110" t="str">
        <f aca="false">'Base Pelotas'!B12</f>
        <v>APS SÃO JOSÉ DO NORTE</v>
      </c>
      <c r="C23" s="257" t="n">
        <f aca="false">VLOOKUP(B23,Unidades!$D$5:$G$27,4,)</f>
        <v>0.04</v>
      </c>
      <c r="D23" s="258" t="n">
        <f aca="false">'Base Pelotas'!AD12*12+'Base Pelotas'!AE12*4+'Base Pelotas'!AF12*2+'Base Pelotas'!AG12</f>
        <v>9012.3996195963</v>
      </c>
      <c r="E23" s="258" t="n">
        <f aca="false">'Base Pelotas'!AK12*12+'Base Pelotas'!AL12*4+'Base Pelotas'!AM12*2+'Base Pelotas'!AN12</f>
        <v>11253.7834049899</v>
      </c>
    </row>
    <row r="24" customFormat="false" ht="15" hidden="false" customHeight="true" outlineLevel="0" collapsed="false">
      <c r="B24" s="110" t="str">
        <f aca="false">'Base Pelotas'!B13</f>
        <v>APS SÃO LOURENÇO DO SUL</v>
      </c>
      <c r="C24" s="257" t="n">
        <f aca="false">VLOOKUP(B24,Unidades!$D$5:$G$27,4,)</f>
        <v>0.02</v>
      </c>
      <c r="D24" s="258" t="n">
        <f aca="false">'Base Pelotas'!AD13*12+'Base Pelotas'!AE13*4+'Base Pelotas'!AF13*2+'Base Pelotas'!AG13</f>
        <v>9335.92057426297</v>
      </c>
      <c r="E24" s="258" t="n">
        <f aca="false">'Base Pelotas'!AK13*12+'Base Pelotas'!AL13*4+'Base Pelotas'!AM13*2+'Base Pelotas'!AN13</f>
        <v>11411.2957179216</v>
      </c>
    </row>
    <row r="25" customFormat="false" ht="15" hidden="false" customHeight="true" outlineLevel="0" collapsed="false">
      <c r="B25" s="110" t="str">
        <f aca="false">'Base Pelotas'!B14</f>
        <v>APS TAPES</v>
      </c>
      <c r="C25" s="257" t="n">
        <f aca="false">VLOOKUP(B25,Unidades!$D$5:$G$27,4,)</f>
        <v>0.02</v>
      </c>
      <c r="D25" s="258" t="n">
        <f aca="false">'Base Pelotas'!AD14*12+'Base Pelotas'!AE14*4+'Base Pelotas'!AF14*2+'Base Pelotas'!AG14</f>
        <v>13776.2622627963</v>
      </c>
      <c r="E25" s="258" t="n">
        <f aca="false">'Base Pelotas'!AK14*12+'Base Pelotas'!AL14*4+'Base Pelotas'!AM14*2+'Base Pelotas'!AN14</f>
        <v>16838.7253638159</v>
      </c>
    </row>
    <row r="26" customFormat="false" ht="15" hidden="false" customHeight="true" outlineLevel="0" collapsed="false">
      <c r="B26" s="110" t="str">
        <f aca="false">'Base Pelotas'!B15</f>
        <v>GEX/APS PELOTAS</v>
      </c>
      <c r="C26" s="257" t="n">
        <f aca="false">VLOOKUP(B26,Unidades!$D$5:$G$27,4,)</f>
        <v>0.035</v>
      </c>
      <c r="D26" s="258" t="n">
        <f aca="false">'Base Pelotas'!AD15*12+'Base Pelotas'!AE15*4+'Base Pelotas'!AF15*2+'Base Pelotas'!AG15</f>
        <v>14113.4410357993</v>
      </c>
      <c r="E26" s="258" t="n">
        <f aca="false">'Base Pelotas'!AK15*12+'Base Pelotas'!AL15*4+'Base Pelotas'!AM15*2+'Base Pelotas'!AN15</f>
        <v>17528.8937664627</v>
      </c>
    </row>
    <row r="27" customFormat="false" ht="15" hidden="false" customHeight="true" outlineLevel="0" collapsed="false">
      <c r="B27" s="254" t="s">
        <v>100</v>
      </c>
      <c r="C27" s="254"/>
      <c r="D27" s="263" t="n">
        <f aca="false">SUM(D5:D26)</f>
        <v>328057.10724227</v>
      </c>
      <c r="E27" s="263" t="n">
        <f aca="false">SUM(E5:E26)</f>
        <v>406234.278972813</v>
      </c>
    </row>
  </sheetData>
  <mergeCells count="2">
    <mergeCell ref="B2:M2"/>
    <mergeCell ref="B27:C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P39"/>
  <sheetViews>
    <sheetView showFormulas="false" showGridLines="false" showRowColHeaders="true" showZeros="true" rightToLeft="false" tabSelected="false" showOutlineSymbols="true" defaultGridColor="true" view="normal" topLeftCell="A7" colorId="64" zoomScale="110" zoomScaleNormal="110" zoomScalePageLayoutView="100" workbookViewId="0">
      <selection pane="topLeft" activeCell="I25" activeCellId="0" sqref="I25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38"/>
    <col collapsed="false" customWidth="true" hidden="false" outlineLevel="0" max="4" min="3" style="17" width="14.75"/>
    <col collapsed="false" customWidth="true" hidden="false" outlineLevel="0" max="5" min="5" style="17" width="15.62"/>
    <col collapsed="false" customWidth="true" hidden="false" outlineLevel="0" max="6" min="6" style="17" width="13.76"/>
    <col collapsed="false" customWidth="true" hidden="false" outlineLevel="0" max="7" min="7" style="17" width="14.87"/>
    <col collapsed="false" customWidth="true" hidden="false" outlineLevel="0" max="8" min="8" style="17" width="14.38"/>
    <col collapsed="false" customWidth="true" hidden="false" outlineLevel="0" max="9" min="9" style="18" width="14"/>
    <col collapsed="false" customWidth="true" hidden="false" outlineLevel="0" max="10" min="10" style="17" width="14.87"/>
    <col collapsed="false" customWidth="true" hidden="false" outlineLevel="0" max="249" min="11" style="17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"PLANILHA RESUMO "&amp;'Valor da Contratação'!B7&amp;""</f>
        <v>PLANILHA RESUMO POLO VII</v>
      </c>
      <c r="C2" s="19"/>
      <c r="D2" s="19"/>
      <c r="E2" s="19"/>
      <c r="F2" s="19"/>
      <c r="G2" s="19"/>
      <c r="H2" s="19"/>
      <c r="I2" s="19"/>
      <c r="J2" s="20"/>
    </row>
    <row r="3" customFormat="false" ht="15" hidden="false" customHeight="true" outlineLevel="0" collapsed="false">
      <c r="B3" s="2"/>
      <c r="H3" s="2"/>
      <c r="I3" s="21"/>
    </row>
    <row r="4" customFormat="false" ht="46.5" hidden="false" customHeight="true" outlineLevel="0" collapsed="false">
      <c r="B4" s="22" t="s">
        <v>13</v>
      </c>
      <c r="C4" s="22" t="s">
        <v>14</v>
      </c>
      <c r="D4" s="22" t="s">
        <v>15</v>
      </c>
      <c r="E4" s="22" t="s">
        <v>16</v>
      </c>
      <c r="F4" s="22" t="s">
        <v>17</v>
      </c>
      <c r="G4" s="22" t="s">
        <v>18</v>
      </c>
      <c r="H4" s="22" t="s">
        <v>19</v>
      </c>
      <c r="I4" s="22" t="s">
        <v>20</v>
      </c>
    </row>
    <row r="5" customFormat="false" ht="19.5" hidden="false" customHeight="true" outlineLevel="0" collapsed="false">
      <c r="B5" s="23" t="s">
        <v>21</v>
      </c>
      <c r="C5" s="24" t="n">
        <f aca="false">'Base Porto Alegre'!C21</f>
        <v>61793.45</v>
      </c>
      <c r="D5" s="25" t="n">
        <f aca="false">'Base Porto Alegre'!AT10</f>
        <v>23050.6440761528</v>
      </c>
      <c r="E5" s="25" t="n">
        <f aca="false">D5*12</f>
        <v>276607.728913834</v>
      </c>
      <c r="F5" s="25" t="n">
        <f aca="false">'Base Porto Alegre'!AT12</f>
        <v>60769.8798371301</v>
      </c>
      <c r="G5" s="25" t="n">
        <f aca="false">F5*12</f>
        <v>729238.558045561</v>
      </c>
      <c r="H5" s="25" t="n">
        <f aca="false">D5+F5</f>
        <v>83820.5239132829</v>
      </c>
      <c r="I5" s="25" t="n">
        <f aca="false">H5*12</f>
        <v>1005846.2869594</v>
      </c>
    </row>
    <row r="6" customFormat="false" ht="19.5" hidden="false" customHeight="true" outlineLevel="0" collapsed="false">
      <c r="B6" s="23" t="s">
        <v>22</v>
      </c>
      <c r="C6" s="24" t="n">
        <f aca="false">'Base Pelotas'!C16</f>
        <v>10437.5</v>
      </c>
      <c r="D6" s="25" t="n">
        <f aca="false">'Base Pelotas'!AT10</f>
        <v>11539.0615047264</v>
      </c>
      <c r="E6" s="25" t="n">
        <f aca="false">D6*12</f>
        <v>138468.738056716</v>
      </c>
      <c r="F6" s="25" t="n">
        <f aca="false">'Base Pelotas'!AT12</f>
        <v>30421.162148824</v>
      </c>
      <c r="G6" s="25" t="n">
        <f aca="false">F6*12</f>
        <v>365053.945785888</v>
      </c>
      <c r="H6" s="25" t="n">
        <f aca="false">D6+F6</f>
        <v>41960.2236535504</v>
      </c>
      <c r="I6" s="25" t="n">
        <f aca="false">H6*12</f>
        <v>503522.683842605</v>
      </c>
    </row>
    <row r="7" customFormat="false" ht="19.5" hidden="false" customHeight="true" outlineLevel="0" collapsed="false">
      <c r="B7" s="26" t="str">
        <f aca="false">"TOTAL "&amp;'Valor da Contratação'!B7&amp;""</f>
        <v>TOTAL POLO VII</v>
      </c>
      <c r="C7" s="27" t="n">
        <f aca="false">SUM(C5:C6)</f>
        <v>72230.95</v>
      </c>
      <c r="D7" s="28" t="n">
        <f aca="false">SUM(D5:D6)</f>
        <v>34589.7055808792</v>
      </c>
      <c r="E7" s="28" t="n">
        <f aca="false">SUM(E5:E6)</f>
        <v>415076.46697055</v>
      </c>
      <c r="F7" s="28" t="n">
        <f aca="false">SUM(F5:F6)</f>
        <v>91191.0419859542</v>
      </c>
      <c r="G7" s="28" t="n">
        <f aca="false">SUM(G5:G6)</f>
        <v>1094292.50383145</v>
      </c>
      <c r="H7" s="28" t="n">
        <f aca="false">SUM(H5:H6)</f>
        <v>125780.747566833</v>
      </c>
      <c r="I7" s="28" t="n">
        <f aca="false">SUM(I5:I6)</f>
        <v>1509368.970802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9"/>
      <c r="H8" s="2"/>
      <c r="I8" s="21"/>
    </row>
    <row r="9" s="30" customFormat="true" ht="27" hidden="false" customHeight="true" outlineLevel="0" collapsed="false">
      <c r="B9" s="31" t="str">
        <f aca="false">"BASE "&amp;B5</f>
        <v>BASE PORTO ALEGRE</v>
      </c>
      <c r="C9" s="32" t="s">
        <v>23</v>
      </c>
      <c r="D9" s="32"/>
      <c r="E9" s="32"/>
      <c r="F9" s="32" t="s">
        <v>24</v>
      </c>
      <c r="G9" s="32"/>
      <c r="H9" s="32"/>
      <c r="I9" s="33" t="s">
        <v>25</v>
      </c>
      <c r="IP9" s="34"/>
    </row>
    <row r="10" s="30" customFormat="true" ht="22.5" hidden="false" customHeight="true" outlineLevel="0" collapsed="false">
      <c r="B10" s="31"/>
      <c r="C10" s="35" t="s">
        <v>26</v>
      </c>
      <c r="D10" s="35" t="s">
        <v>27</v>
      </c>
      <c r="E10" s="35" t="s">
        <v>28</v>
      </c>
      <c r="F10" s="36" t="s">
        <v>26</v>
      </c>
      <c r="G10" s="36" t="s">
        <v>27</v>
      </c>
      <c r="H10" s="36" t="s">
        <v>28</v>
      </c>
      <c r="I10" s="36" t="s">
        <v>29</v>
      </c>
      <c r="IP10" s="34"/>
    </row>
    <row r="11" customFormat="false" ht="16.5" hidden="false" customHeight="true" outlineLevel="0" collapsed="false">
      <c r="B11" s="23" t="str">
        <f aca="false">'Base Porto Alegre'!B7</f>
        <v>APS ESTEIO</v>
      </c>
      <c r="C11" s="25" t="n">
        <f aca="false">'Base Porto Alegre'!AO7</f>
        <v>1157.8416714798</v>
      </c>
      <c r="D11" s="25" t="n">
        <f aca="false">C11*3</f>
        <v>3473.52501443939</v>
      </c>
      <c r="E11" s="25" t="n">
        <f aca="false">C11+D11</f>
        <v>4631.36668591918</v>
      </c>
      <c r="F11" s="25" t="n">
        <f aca="false">C11*12</f>
        <v>13894.1000577576</v>
      </c>
      <c r="G11" s="25" t="n">
        <f aca="false">F11*3</f>
        <v>41682.3001732727</v>
      </c>
      <c r="H11" s="25" t="n">
        <f aca="false">F11+G11</f>
        <v>55576.4002310302</v>
      </c>
      <c r="I11" s="37" t="n">
        <f aca="false">F11/$E$7</f>
        <v>0.0334735914063356</v>
      </c>
    </row>
    <row r="12" customFormat="false" ht="16.5" hidden="false" customHeight="true" outlineLevel="0" collapsed="false">
      <c r="B12" s="23" t="str">
        <f aca="false">'Base Porto Alegre'!B8</f>
        <v>APS CACHOEIRINHA</v>
      </c>
      <c r="C12" s="25" t="n">
        <f aca="false">'Base Porto Alegre'!AO8</f>
        <v>736.848999811412</v>
      </c>
      <c r="D12" s="25" t="n">
        <f aca="false">C12*3</f>
        <v>2210.54699943424</v>
      </c>
      <c r="E12" s="25" t="n">
        <f aca="false">C12+D12</f>
        <v>2947.39599924565</v>
      </c>
      <c r="F12" s="25" t="n">
        <f aca="false">C12*12</f>
        <v>8842.18799773695</v>
      </c>
      <c r="G12" s="25" t="n">
        <f aca="false">F12*3</f>
        <v>26526.5639932108</v>
      </c>
      <c r="H12" s="25" t="n">
        <f aca="false">F12+G12</f>
        <v>35368.7519909478</v>
      </c>
      <c r="I12" s="37" t="n">
        <f aca="false">F12/$E$7</f>
        <v>0.0213025519424697</v>
      </c>
    </row>
    <row r="13" customFormat="false" ht="16.5" hidden="false" customHeight="true" outlineLevel="0" collapsed="false">
      <c r="B13" s="23" t="str">
        <f aca="false">'Base Porto Alegre'!B9</f>
        <v>APS GRAVATAÍ</v>
      </c>
      <c r="C13" s="25" t="n">
        <f aca="false">'Base Porto Alegre'!AO9</f>
        <v>1188.49017554268</v>
      </c>
      <c r="D13" s="25" t="n">
        <f aca="false">C13*3</f>
        <v>3565.47052662805</v>
      </c>
      <c r="E13" s="25" t="n">
        <f aca="false">C13+D13</f>
        <v>4753.96070217074</v>
      </c>
      <c r="F13" s="25" t="n">
        <f aca="false">C13*12</f>
        <v>14261.8821065122</v>
      </c>
      <c r="G13" s="25" t="n">
        <f aca="false">F13*3</f>
        <v>42785.6463195366</v>
      </c>
      <c r="H13" s="25" t="n">
        <f aca="false">F13+G13</f>
        <v>57047.5284260488</v>
      </c>
      <c r="I13" s="37" t="n">
        <f aca="false">F13/$E$7</f>
        <v>0.0343596499474014</v>
      </c>
    </row>
    <row r="14" customFormat="false" ht="16.5" hidden="false" customHeight="true" outlineLevel="0" collapsed="false">
      <c r="B14" s="23" t="str">
        <f aca="false">'Base Porto Alegre'!B10</f>
        <v>APS GUAÍBA</v>
      </c>
      <c r="C14" s="25" t="n">
        <f aca="false">'Base Porto Alegre'!AO10</f>
        <v>1079.27005675886</v>
      </c>
      <c r="D14" s="25" t="n">
        <f aca="false">C14*3</f>
        <v>3237.81017027657</v>
      </c>
      <c r="E14" s="25" t="n">
        <f aca="false">C14+D14</f>
        <v>4317.08022703542</v>
      </c>
      <c r="F14" s="25" t="n">
        <f aca="false">C14*12</f>
        <v>12951.2406811063</v>
      </c>
      <c r="G14" s="25" t="n">
        <f aca="false">F14*3</f>
        <v>38853.7220433188</v>
      </c>
      <c r="H14" s="25" t="n">
        <f aca="false">F14+G14</f>
        <v>51804.962724425</v>
      </c>
      <c r="I14" s="37" t="n">
        <f aca="false">F14/$E$7</f>
        <v>0.0312020596485061</v>
      </c>
    </row>
    <row r="15" customFormat="false" ht="16.5" hidden="false" customHeight="true" outlineLevel="0" collapsed="false">
      <c r="B15" s="23" t="str">
        <f aca="false">'Base Porto Alegre'!B11</f>
        <v>CEDOCPREV CANOAS</v>
      </c>
      <c r="C15" s="25" t="n">
        <f aca="false">'Base Porto Alegre'!AO11</f>
        <v>695.437879422399</v>
      </c>
      <c r="D15" s="25" t="n">
        <f aca="false">C15*3</f>
        <v>2086.3136382672</v>
      </c>
      <c r="E15" s="25" t="n">
        <f aca="false">C15+D15</f>
        <v>2781.7515176896</v>
      </c>
      <c r="F15" s="25" t="n">
        <f aca="false">C15*12</f>
        <v>8345.25455306879</v>
      </c>
      <c r="G15" s="25" t="n">
        <f aca="false">F15*3</f>
        <v>25035.7636592064</v>
      </c>
      <c r="H15" s="25" t="n">
        <f aca="false">F15+G15</f>
        <v>33381.0182122752</v>
      </c>
      <c r="I15" s="37" t="n">
        <f aca="false">F15/$E$7</f>
        <v>0.0201053425504388</v>
      </c>
    </row>
    <row r="16" customFormat="false" ht="16.5" hidden="false" customHeight="true" outlineLevel="0" collapsed="false">
      <c r="B16" s="23" t="str">
        <f aca="false">'Base Porto Alegre'!B12</f>
        <v>DEPÓSITO ESTEIO</v>
      </c>
      <c r="C16" s="25" t="n">
        <f aca="false">'Base Porto Alegre'!AO12</f>
        <v>704.673829844766</v>
      </c>
      <c r="D16" s="25" t="n">
        <f aca="false">C16*3</f>
        <v>2114.0214895343</v>
      </c>
      <c r="E16" s="25" t="n">
        <f aca="false">C16+D16</f>
        <v>2818.69531937907</v>
      </c>
      <c r="F16" s="25" t="n">
        <f aca="false">C16*12</f>
        <v>8456.0859581372</v>
      </c>
      <c r="G16" s="25" t="n">
        <f aca="false">F16*3</f>
        <v>25368.2578744116</v>
      </c>
      <c r="H16" s="25" t="n">
        <f aca="false">F16+G16</f>
        <v>33824.3438325488</v>
      </c>
      <c r="I16" s="37" t="n">
        <f aca="false">F16/$E$7</f>
        <v>0.0203723569776293</v>
      </c>
    </row>
    <row r="17" customFormat="false" ht="16.5" hidden="false" customHeight="true" outlineLevel="0" collapsed="false">
      <c r="B17" s="23" t="str">
        <f aca="false">'Base Porto Alegre'!B13</f>
        <v>GEX/APS CANOAS</v>
      </c>
      <c r="C17" s="25" t="n">
        <f aca="false">'Base Porto Alegre'!AO13</f>
        <v>1586.1149951799</v>
      </c>
      <c r="D17" s="25" t="n">
        <f aca="false">C17*3</f>
        <v>4758.3449855397</v>
      </c>
      <c r="E17" s="25" t="n">
        <f aca="false">C17+D17</f>
        <v>6344.4599807196</v>
      </c>
      <c r="F17" s="25" t="n">
        <f aca="false">C17*12</f>
        <v>19033.3799421588</v>
      </c>
      <c r="G17" s="25" t="n">
        <f aca="false">F17*3</f>
        <v>57100.1398264764</v>
      </c>
      <c r="H17" s="25" t="n">
        <f aca="false">F17+G17</f>
        <v>76133.5197686352</v>
      </c>
      <c r="I17" s="37" t="n">
        <f aca="false">F17/$E$7</f>
        <v>0.0458551169645309</v>
      </c>
    </row>
    <row r="18" customFormat="false" ht="16.5" hidden="false" customHeight="true" outlineLevel="0" collapsed="false">
      <c r="B18" s="23" t="str">
        <f aca="false">'Base Porto Alegre'!B14</f>
        <v>APS ALVORADA</v>
      </c>
      <c r="C18" s="25" t="n">
        <f aca="false">'Base Porto Alegre'!AO14</f>
        <v>768.187144970666</v>
      </c>
      <c r="D18" s="25" t="n">
        <f aca="false">C18*3</f>
        <v>2304.561434912</v>
      </c>
      <c r="E18" s="25" t="n">
        <f aca="false">C18+D18</f>
        <v>3072.74857988266</v>
      </c>
      <c r="F18" s="25" t="n">
        <f aca="false">C18*12</f>
        <v>9218.24573964799</v>
      </c>
      <c r="G18" s="25" t="n">
        <f aca="false">F18*3</f>
        <v>27654.737218944</v>
      </c>
      <c r="H18" s="25" t="n">
        <f aca="false">F18+G18</f>
        <v>36872.982958592</v>
      </c>
      <c r="I18" s="37" t="n">
        <f aca="false">F18/$E$7</f>
        <v>0.0222085482391418</v>
      </c>
    </row>
    <row r="19" customFormat="false" ht="16.5" hidden="false" customHeight="true" outlineLevel="0" collapsed="false">
      <c r="B19" s="23" t="str">
        <f aca="false">'Base Porto Alegre'!B15</f>
        <v>APS PORTO ALEGRE- CENTRO</v>
      </c>
      <c r="C19" s="25" t="n">
        <f aca="false">'Base Porto Alegre'!AO15</f>
        <v>1137.59871217334</v>
      </c>
      <c r="D19" s="25" t="n">
        <f aca="false">C19*3</f>
        <v>3412.79613652001</v>
      </c>
      <c r="E19" s="25" t="n">
        <f aca="false">C19+D19</f>
        <v>4550.39484869334</v>
      </c>
      <c r="F19" s="25" t="n">
        <f aca="false">C19*12</f>
        <v>13651.18454608</v>
      </c>
      <c r="G19" s="25" t="n">
        <f aca="false">F19*3</f>
        <v>40953.5536382401</v>
      </c>
      <c r="H19" s="25" t="n">
        <f aca="false">F19+G19</f>
        <v>54604.7381843201</v>
      </c>
      <c r="I19" s="37" t="n">
        <f aca="false">F19/$E$7</f>
        <v>0.0328883606572873</v>
      </c>
    </row>
    <row r="20" customFormat="false" ht="16.5" hidden="false" customHeight="true" outlineLevel="0" collapsed="false">
      <c r="B20" s="23" t="str">
        <f aca="false">'Base Porto Alegre'!B16</f>
        <v>APS PORTO ALEGRE-PARTENON</v>
      </c>
      <c r="C20" s="25" t="n">
        <f aca="false">'Base Porto Alegre'!AO16</f>
        <v>5510.70144536347</v>
      </c>
      <c r="D20" s="25" t="n">
        <f aca="false">C20*3</f>
        <v>16532.1043360904</v>
      </c>
      <c r="E20" s="25" t="n">
        <f aca="false">C20+D20</f>
        <v>22042.8057814539</v>
      </c>
      <c r="F20" s="25" t="n">
        <f aca="false">C20*12</f>
        <v>66128.4173443617</v>
      </c>
      <c r="G20" s="25" t="n">
        <f aca="false">F20*3</f>
        <v>198385.252033085</v>
      </c>
      <c r="H20" s="25" t="n">
        <f aca="false">F20+G20</f>
        <v>264513.669377447</v>
      </c>
      <c r="I20" s="37" t="n">
        <f aca="false">F20/$E$7</f>
        <v>0.159316228710826</v>
      </c>
    </row>
    <row r="21" customFormat="false" ht="16.5" hidden="false" customHeight="true" outlineLevel="0" collapsed="false">
      <c r="B21" s="23" t="str">
        <f aca="false">'Base Porto Alegre'!B17</f>
        <v>APS PORTO ALEGRE-SUL</v>
      </c>
      <c r="C21" s="25" t="n">
        <f aca="false">'Base Porto Alegre'!AO17</f>
        <v>829.624772307161</v>
      </c>
      <c r="D21" s="25" t="n">
        <f aca="false">C21*3</f>
        <v>2488.87431692148</v>
      </c>
      <c r="E21" s="25" t="n">
        <f aca="false">C21+D21</f>
        <v>3318.49908922864</v>
      </c>
      <c r="F21" s="25" t="n">
        <f aca="false">C21*12</f>
        <v>9955.49726768593</v>
      </c>
      <c r="G21" s="25" t="n">
        <f aca="false">F21*3</f>
        <v>29866.4918030578</v>
      </c>
      <c r="H21" s="25" t="n">
        <f aca="false">F21+G21</f>
        <v>39821.9890707437</v>
      </c>
      <c r="I21" s="37" t="n">
        <f aca="false">F21/$E$7</f>
        <v>0.0239847306698606</v>
      </c>
    </row>
    <row r="22" customFormat="false" ht="16.5" hidden="false" customHeight="true" outlineLevel="0" collapsed="false">
      <c r="B22" s="23" t="str">
        <f aca="false">'Base Porto Alegre'!B18</f>
        <v>CEDOCPREV PORTO ALEGRE</v>
      </c>
      <c r="C22" s="25" t="n">
        <f aca="false">'Base Porto Alegre'!AO18</f>
        <v>1185.11199757931</v>
      </c>
      <c r="D22" s="25" t="n">
        <f aca="false">C22*3</f>
        <v>3555.33599273793</v>
      </c>
      <c r="E22" s="25" t="n">
        <f aca="false">C22+D22</f>
        <v>4740.44799031724</v>
      </c>
      <c r="F22" s="25" t="n">
        <f aca="false">C22*12</f>
        <v>14221.3439709517</v>
      </c>
      <c r="G22" s="25" t="n">
        <f aca="false">F22*3</f>
        <v>42664.0319128551</v>
      </c>
      <c r="H22" s="25" t="n">
        <f aca="false">F22+G22</f>
        <v>56885.3758838068</v>
      </c>
      <c r="I22" s="37" t="n">
        <f aca="false">F22/$E$7</f>
        <v>0.0342619856884364</v>
      </c>
    </row>
    <row r="23" customFormat="false" ht="16.5" hidden="false" customHeight="true" outlineLevel="0" collapsed="false">
      <c r="B23" s="23" t="str">
        <f aca="false">'Base Porto Alegre'!B19</f>
        <v>GEX PORTO ALEGRE</v>
      </c>
      <c r="C23" s="25" t="n">
        <f aca="false">'Base Porto Alegre'!AO19</f>
        <v>5490.33860876091</v>
      </c>
      <c r="D23" s="25" t="n">
        <f aca="false">C23*3</f>
        <v>16471.0158262827</v>
      </c>
      <c r="E23" s="25" t="n">
        <f aca="false">C23+D23</f>
        <v>21961.3544350436</v>
      </c>
      <c r="F23" s="25" t="n">
        <f aca="false">C23*12</f>
        <v>65884.0633051309</v>
      </c>
      <c r="G23" s="25" t="n">
        <f aca="false">F23*3</f>
        <v>197652.189915393</v>
      </c>
      <c r="H23" s="25" t="n">
        <f aca="false">F23+G23</f>
        <v>263536.253220524</v>
      </c>
      <c r="I23" s="37" t="n">
        <f aca="false">F23/$E$7</f>
        <v>0.158727532268905</v>
      </c>
    </row>
    <row r="24" customFormat="false" ht="16.5" hidden="false" customHeight="true" outlineLevel="0" collapsed="false">
      <c r="B24" s="23" t="str">
        <f aca="false">'Base Porto Alegre'!B20</f>
        <v>IPASE PORTO ALEGRE</v>
      </c>
      <c r="C24" s="25" t="n">
        <f aca="false">'Base Porto Alegre'!AO20</f>
        <v>980.403786958135</v>
      </c>
      <c r="D24" s="25" t="n">
        <f aca="false">C24*3</f>
        <v>2941.2113608744</v>
      </c>
      <c r="E24" s="25" t="n">
        <f aca="false">C24+D24</f>
        <v>3921.61514783254</v>
      </c>
      <c r="F24" s="25" t="n">
        <f aca="false">C24*12</f>
        <v>11764.8454434976</v>
      </c>
      <c r="G24" s="25" t="n">
        <f aca="false">F24*3</f>
        <v>35294.5363304929</v>
      </c>
      <c r="H24" s="25" t="n">
        <f aca="false">F24+G24</f>
        <v>47059.3817739905</v>
      </c>
      <c r="I24" s="37" t="n">
        <f aca="false">F24/$E$7</f>
        <v>0.0283438025994674</v>
      </c>
    </row>
    <row r="25" customFormat="false" ht="22.5" hidden="false" customHeight="true" outlineLevel="0" collapsed="false">
      <c r="B25" s="38" t="str">
        <f aca="false">"Total Base "&amp;B5</f>
        <v>Total Base PORTO ALEGRE</v>
      </c>
      <c r="C25" s="38" t="n">
        <f aca="false">SUM(C11:C24)</f>
        <v>23050.6440761528</v>
      </c>
      <c r="D25" s="38" t="n">
        <f aca="false">SUM(D11:D24)</f>
        <v>69151.9322284584</v>
      </c>
      <c r="E25" s="38" t="n">
        <f aca="false">SUM(E11:E24)</f>
        <v>92202.5763046112</v>
      </c>
      <c r="F25" s="38" t="n">
        <f aca="false">SUM(F11:F24)</f>
        <v>276607.728913834</v>
      </c>
      <c r="G25" s="38" t="n">
        <f aca="false">SUM(G11:G24)</f>
        <v>829823.186741501</v>
      </c>
      <c r="H25" s="38" t="n">
        <f aca="false">SUM(H11:H24)</f>
        <v>1106430.91565533</v>
      </c>
      <c r="I25" s="39" t="n">
        <f aca="false">SUM(I11:I24)</f>
        <v>0.666401858271236</v>
      </c>
    </row>
    <row r="26" customFormat="false" ht="22.5" hidden="false" customHeight="true" outlineLevel="0" collapsed="false">
      <c r="B26" s="40"/>
      <c r="C26" s="40"/>
      <c r="D26" s="40"/>
      <c r="E26" s="40"/>
      <c r="F26" s="40"/>
      <c r="G26" s="40"/>
      <c r="H26" s="40"/>
      <c r="I26" s="41"/>
    </row>
    <row r="27" s="30" customFormat="true" ht="27.75" hidden="false" customHeight="true" outlineLevel="0" collapsed="false">
      <c r="B27" s="31" t="str">
        <f aca="false">"BASE "&amp;B6</f>
        <v>BASE PELOTAS</v>
      </c>
      <c r="C27" s="32" t="s">
        <v>23</v>
      </c>
      <c r="D27" s="32"/>
      <c r="E27" s="32"/>
      <c r="F27" s="32" t="s">
        <v>24</v>
      </c>
      <c r="G27" s="32"/>
      <c r="H27" s="32"/>
      <c r="I27" s="33" t="s">
        <v>25</v>
      </c>
      <c r="IP27" s="34"/>
    </row>
    <row r="28" s="30" customFormat="true" ht="22.5" hidden="false" customHeight="true" outlineLevel="0" collapsed="false">
      <c r="B28" s="31"/>
      <c r="C28" s="35" t="s">
        <v>26</v>
      </c>
      <c r="D28" s="35" t="s">
        <v>27</v>
      </c>
      <c r="E28" s="35" t="s">
        <v>28</v>
      </c>
      <c r="F28" s="36" t="s">
        <v>26</v>
      </c>
      <c r="G28" s="36" t="s">
        <v>27</v>
      </c>
      <c r="H28" s="36" t="s">
        <v>28</v>
      </c>
      <c r="I28" s="36" t="s">
        <v>29</v>
      </c>
      <c r="IP28" s="34"/>
    </row>
    <row r="29" customFormat="false" ht="16.5" hidden="false" customHeight="true" outlineLevel="0" collapsed="false">
      <c r="B29" s="23" t="str">
        <f aca="false">'Base Pelotas'!B7</f>
        <v>APS CAMAQUÃ</v>
      </c>
      <c r="C29" s="25" t="n">
        <f aca="false">'Base Pelotas'!AO7</f>
        <v>1508.42343654675</v>
      </c>
      <c r="D29" s="25" t="n">
        <f aca="false">C29*3</f>
        <v>4525.27030964025</v>
      </c>
      <c r="E29" s="25" t="n">
        <f aca="false">C29+D29</f>
        <v>6033.693746187</v>
      </c>
      <c r="F29" s="25" t="n">
        <f aca="false">C29*12</f>
        <v>18101.081238561</v>
      </c>
      <c r="G29" s="25" t="n">
        <f aca="false">F29*3</f>
        <v>54303.243715683</v>
      </c>
      <c r="H29" s="25" t="n">
        <f aca="false">F29+G29</f>
        <v>72404.324954244</v>
      </c>
      <c r="I29" s="37" t="n">
        <f aca="false">F29/$E$7</f>
        <v>0.0436090279236315</v>
      </c>
    </row>
    <row r="30" customFormat="false" ht="16.5" hidden="false" customHeight="true" outlineLevel="0" collapsed="false">
      <c r="B30" s="23" t="str">
        <f aca="false">'Base Pelotas'!B8</f>
        <v>APS CAPÃO DO LEÃO</v>
      </c>
      <c r="C30" s="25" t="n">
        <f aca="false">'Base Pelotas'!AO8</f>
        <v>690.278261238704</v>
      </c>
      <c r="D30" s="25" t="n">
        <f aca="false">C30*3</f>
        <v>2070.83478371611</v>
      </c>
      <c r="E30" s="25" t="n">
        <f aca="false">C30+D30</f>
        <v>2761.11304495482</v>
      </c>
      <c r="F30" s="25" t="n">
        <f aca="false">C30*12</f>
        <v>8283.33913486445</v>
      </c>
      <c r="G30" s="25" t="n">
        <f aca="false">F30*3</f>
        <v>24850.0174045934</v>
      </c>
      <c r="H30" s="25" t="n">
        <f aca="false">F30+G30</f>
        <v>33133.3565394578</v>
      </c>
      <c r="I30" s="37" t="n">
        <f aca="false">F30/$E$7</f>
        <v>0.0199561762566803</v>
      </c>
    </row>
    <row r="31" customFormat="false" ht="16.5" hidden="false" customHeight="true" outlineLevel="0" collapsed="false">
      <c r="B31" s="23" t="str">
        <f aca="false">'Base Pelotas'!B9</f>
        <v>APS JAGUARÃO</v>
      </c>
      <c r="C31" s="25" t="n">
        <f aca="false">'Base Pelotas'!AO9</f>
        <v>1199.65785653511</v>
      </c>
      <c r="D31" s="25" t="n">
        <f aca="false">C31*3</f>
        <v>3598.97356960532</v>
      </c>
      <c r="E31" s="25" t="n">
        <f aca="false">C31+D31</f>
        <v>4798.63142614042</v>
      </c>
      <c r="F31" s="25" t="n">
        <f aca="false">C31*12</f>
        <v>14395.8942784213</v>
      </c>
      <c r="G31" s="25" t="n">
        <f aca="false">F31*3</f>
        <v>43187.6828352638</v>
      </c>
      <c r="H31" s="25" t="n">
        <f aca="false">F31+G31</f>
        <v>57583.5771136851</v>
      </c>
      <c r="I31" s="37" t="n">
        <f aca="false">F31/$E$7</f>
        <v>0.0346825113538481</v>
      </c>
    </row>
    <row r="32" customFormat="false" ht="16.5" hidden="false" customHeight="true" outlineLevel="0" collapsed="false">
      <c r="B32" s="23" t="str">
        <f aca="false">'Base Pelotas'!B10</f>
        <v>APS RIO GRANDE</v>
      </c>
      <c r="C32" s="25" t="n">
        <f aca="false">'Base Pelotas'!AO10</f>
        <v>1250.4765292382</v>
      </c>
      <c r="D32" s="25" t="n">
        <f aca="false">C32*3</f>
        <v>3751.42958771459</v>
      </c>
      <c r="E32" s="25" t="n">
        <f aca="false">C32+D32</f>
        <v>5001.90611695278</v>
      </c>
      <c r="F32" s="25" t="n">
        <f aca="false">C32*12</f>
        <v>15005.7183508584</v>
      </c>
      <c r="G32" s="25" t="n">
        <f aca="false">F32*3</f>
        <v>45017.1550525751</v>
      </c>
      <c r="H32" s="25" t="n">
        <f aca="false">F32+G32</f>
        <v>60022.8734034334</v>
      </c>
      <c r="I32" s="37" t="n">
        <f aca="false">F32/$E$7</f>
        <v>0.0361516962413651</v>
      </c>
    </row>
    <row r="33" customFormat="false" ht="16.5" hidden="false" customHeight="true" outlineLevel="0" collapsed="false">
      <c r="B33" s="23" t="str">
        <f aca="false">'Base Pelotas'!B11</f>
        <v>APS SANTA VITÓRIA DO PALMAR</v>
      </c>
      <c r="C33" s="25" t="n">
        <f aca="false">'Base Pelotas'!AO11</f>
        <v>2137.50056673509</v>
      </c>
      <c r="D33" s="25" t="n">
        <f aca="false">C33*3</f>
        <v>6412.50170020528</v>
      </c>
      <c r="E33" s="25" t="n">
        <f aca="false">C33+D33</f>
        <v>8550.00226694037</v>
      </c>
      <c r="F33" s="25" t="n">
        <f aca="false">C33*12</f>
        <v>25650.0068008211</v>
      </c>
      <c r="G33" s="25" t="n">
        <f aca="false">F33*3</f>
        <v>76950.0204024633</v>
      </c>
      <c r="H33" s="25" t="n">
        <f aca="false">F33+G33</f>
        <v>102600.027203284</v>
      </c>
      <c r="I33" s="37" t="n">
        <f aca="false">F33/$E$7</f>
        <v>0.0617958589366161</v>
      </c>
    </row>
    <row r="34" customFormat="false" ht="16.5" hidden="false" customHeight="true" outlineLevel="0" collapsed="false">
      <c r="B34" s="23" t="str">
        <f aca="false">'Base Pelotas'!B12</f>
        <v>APS SÃO JOSÉ DO NORTE</v>
      </c>
      <c r="C34" s="25" t="n">
        <f aca="false">'Base Pelotas'!AO12</f>
        <v>937.815283749158</v>
      </c>
      <c r="D34" s="25" t="n">
        <f aca="false">C34*3</f>
        <v>2813.44585124748</v>
      </c>
      <c r="E34" s="25" t="n">
        <f aca="false">C34+D34</f>
        <v>3751.26113499663</v>
      </c>
      <c r="F34" s="25" t="n">
        <f aca="false">C34*12</f>
        <v>11253.7834049899</v>
      </c>
      <c r="G34" s="25" t="n">
        <f aca="false">F34*3</f>
        <v>33761.3502149697</v>
      </c>
      <c r="H34" s="25" t="n">
        <f aca="false">F34+G34</f>
        <v>45015.1336199596</v>
      </c>
      <c r="I34" s="37" t="n">
        <f aca="false">F34/$E$7</f>
        <v>0.0271125546748676</v>
      </c>
    </row>
    <row r="35" customFormat="false" ht="16.5" hidden="false" customHeight="true" outlineLevel="0" collapsed="false">
      <c r="B35" s="23" t="str">
        <f aca="false">'Base Pelotas'!B13</f>
        <v>APS SÃO LOURENÇO DO SUL</v>
      </c>
      <c r="C35" s="25" t="n">
        <f aca="false">'Base Pelotas'!AO13</f>
        <v>950.941309826802</v>
      </c>
      <c r="D35" s="25" t="n">
        <f aca="false">C35*3</f>
        <v>2852.82392948041</v>
      </c>
      <c r="E35" s="25" t="n">
        <f aca="false">C35+D35</f>
        <v>3803.76523930721</v>
      </c>
      <c r="F35" s="25" t="n">
        <f aca="false">C35*12</f>
        <v>11411.2957179216</v>
      </c>
      <c r="G35" s="25" t="n">
        <f aca="false">F35*3</f>
        <v>34233.8871537649</v>
      </c>
      <c r="H35" s="25" t="n">
        <f aca="false">F35+G35</f>
        <v>45645.1828716865</v>
      </c>
      <c r="I35" s="37" t="n">
        <f aca="false">F35/$E$7</f>
        <v>0.0274920324951385</v>
      </c>
    </row>
    <row r="36" customFormat="false" ht="16.5" hidden="false" customHeight="true" outlineLevel="0" collapsed="false">
      <c r="B36" s="23" t="str">
        <f aca="false">'Base Pelotas'!B14</f>
        <v>APS TAPES</v>
      </c>
      <c r="C36" s="25" t="n">
        <f aca="false">'Base Pelotas'!AO14</f>
        <v>1403.22711365133</v>
      </c>
      <c r="D36" s="25" t="n">
        <f aca="false">C36*3</f>
        <v>4209.68134095398</v>
      </c>
      <c r="E36" s="25" t="n">
        <f aca="false">C36+D36</f>
        <v>5612.90845460531</v>
      </c>
      <c r="F36" s="25" t="n">
        <f aca="false">C36*12</f>
        <v>16838.7253638159</v>
      </c>
      <c r="G36" s="25" t="n">
        <f aca="false">F36*3</f>
        <v>50516.1760914478</v>
      </c>
      <c r="H36" s="25" t="n">
        <f aca="false">F36+G36</f>
        <v>67354.9014552637</v>
      </c>
      <c r="I36" s="37" t="n">
        <f aca="false">F36/$E$7</f>
        <v>0.0405677669146457</v>
      </c>
    </row>
    <row r="37" customFormat="false" ht="16.5" hidden="false" customHeight="true" outlineLevel="0" collapsed="false">
      <c r="B37" s="23" t="str">
        <f aca="false">'Base Pelotas'!B15</f>
        <v>GEX/APS PELOTAS</v>
      </c>
      <c r="C37" s="25" t="n">
        <f aca="false">'Base Pelotas'!AO15</f>
        <v>1460.74114720523</v>
      </c>
      <c r="D37" s="25" t="n">
        <f aca="false">C37*3</f>
        <v>4382.22344161568</v>
      </c>
      <c r="E37" s="25" t="n">
        <f aca="false">C37+D37</f>
        <v>5842.96458882091</v>
      </c>
      <c r="F37" s="25" t="n">
        <f aca="false">C37*12</f>
        <v>17528.8937664627</v>
      </c>
      <c r="G37" s="25" t="n">
        <f aca="false">F37*3</f>
        <v>52586.6812993882</v>
      </c>
      <c r="H37" s="25" t="n">
        <f aca="false">F37+G37</f>
        <v>70115.5750658509</v>
      </c>
      <c r="I37" s="37" t="n">
        <f aca="false">F37/$E$7</f>
        <v>0.0422305169319715</v>
      </c>
    </row>
    <row r="38" customFormat="false" ht="22.5" hidden="false" customHeight="true" outlineLevel="0" collapsed="false">
      <c r="B38" s="38" t="str">
        <f aca="false">"Total Base "&amp;B6</f>
        <v>Total Base PELOTAS</v>
      </c>
      <c r="C38" s="38" t="n">
        <f aca="false">SUM(C29:C37)</f>
        <v>11539.0615047264</v>
      </c>
      <c r="D38" s="38" t="n">
        <f aca="false">SUM(D29:D37)</f>
        <v>34617.1845141791</v>
      </c>
      <c r="E38" s="38" t="n">
        <f aca="false">SUM(E29:E37)</f>
        <v>46156.2460189054</v>
      </c>
      <c r="F38" s="38" t="n">
        <f aca="false">SUM(F29:F37)</f>
        <v>138468.738056716</v>
      </c>
      <c r="G38" s="38" t="n">
        <f aca="false">SUM(G29:G37)</f>
        <v>415406.214170149</v>
      </c>
      <c r="H38" s="38" t="n">
        <f aca="false">SUM(H29:H37)</f>
        <v>553874.952226865</v>
      </c>
      <c r="I38" s="39" t="n">
        <f aca="false">SUM(I29:I37)</f>
        <v>0.333598141728764</v>
      </c>
    </row>
    <row r="39" customFormat="false" ht="22.5" hidden="false" customHeight="true" outlineLevel="0" collapsed="false">
      <c r="B39" s="42"/>
      <c r="C39" s="40"/>
      <c r="D39" s="40"/>
      <c r="E39" s="40"/>
      <c r="F39" s="40"/>
      <c r="G39" s="40"/>
      <c r="H39" s="40"/>
      <c r="I39" s="41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9" activeCellId="0" sqref="B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3" t="str">
        <f aca="false">"CÁLCULO DO CUSTO DA EQUIPE TÉCNICA PARA O "&amp;'Valor da Contratação'!B7&amp;""</f>
        <v>CÁLCULO DO CUSTO DA EQUIPE TÉCNICA PARA O POLO VII</v>
      </c>
      <c r="C2" s="43"/>
      <c r="D2" s="43"/>
      <c r="E2" s="43"/>
    </row>
    <row r="3" customFormat="false" ht="15" hidden="false" customHeight="true" outlineLevel="0" collapsed="false">
      <c r="B3" s="44"/>
      <c r="C3" s="44"/>
      <c r="D3" s="44"/>
      <c r="E3" s="44"/>
    </row>
    <row r="4" customFormat="false" ht="45.75" hidden="false" customHeight="true" outlineLevel="0" collapsed="false">
      <c r="B4" s="45" t="s">
        <v>30</v>
      </c>
      <c r="C4" s="46" t="s">
        <v>31</v>
      </c>
      <c r="D4" s="46" t="s">
        <v>32</v>
      </c>
      <c r="E4" s="46" t="s">
        <v>33</v>
      </c>
    </row>
    <row r="5" customFormat="false" ht="19.5" hidden="false" customHeight="true" outlineLevel="0" collapsed="false">
      <c r="B5" s="45"/>
      <c r="C5" s="47" t="n">
        <v>135.8</v>
      </c>
      <c r="D5" s="47" t="n">
        <f aca="false">'Comp. Eng. Eletricista'!D11</f>
        <v>171.776832</v>
      </c>
      <c r="E5" s="47" t="n">
        <v>36.14</v>
      </c>
    </row>
    <row r="6" customFormat="false" ht="19.5" hidden="false" customHeight="true" outlineLevel="0" collapsed="false">
      <c r="B6" s="48" t="s">
        <v>34</v>
      </c>
      <c r="C6" s="49" t="n">
        <v>80</v>
      </c>
      <c r="D6" s="49" t="n">
        <v>16</v>
      </c>
      <c r="E6" s="49" t="n">
        <v>80</v>
      </c>
    </row>
    <row r="7" customFormat="false" ht="19.5" hidden="false" customHeight="true" outlineLevel="0" collapsed="false">
      <c r="B7" s="48" t="s">
        <v>35</v>
      </c>
      <c r="C7" s="47" t="n">
        <f aca="false">C5*C6</f>
        <v>10864</v>
      </c>
      <c r="D7" s="47" t="n">
        <f aca="false">D5*D6</f>
        <v>2748.429312</v>
      </c>
      <c r="E7" s="47" t="n">
        <f aca="false">E5*E6</f>
        <v>2891.2</v>
      </c>
    </row>
    <row r="8" customFormat="false" ht="19.5" hidden="false" customHeight="true" outlineLevel="0" collapsed="false">
      <c r="B8" s="48" t="s">
        <v>36</v>
      </c>
      <c r="C8" s="47" t="n">
        <f aca="false">C5*C6*12</f>
        <v>130368</v>
      </c>
      <c r="D8" s="47" t="n">
        <f aca="false">D5*D6*12</f>
        <v>32981.151744</v>
      </c>
      <c r="E8" s="47" t="n">
        <f aca="false">E5*E6*12</f>
        <v>34694.4</v>
      </c>
    </row>
    <row r="9" customFormat="false" ht="19.5" hidden="false" customHeight="true" outlineLevel="0" collapsed="false">
      <c r="B9" s="50" t="s">
        <v>37</v>
      </c>
      <c r="C9" s="51"/>
      <c r="D9" s="51"/>
      <c r="E9" s="51"/>
    </row>
    <row r="10" customFormat="false" ht="19.5" hidden="false" customHeight="true" outlineLevel="0" collapsed="false">
      <c r="C10" s="51"/>
      <c r="D10" s="51"/>
      <c r="E10" s="51"/>
    </row>
    <row r="11" customFormat="false" ht="19.5" hidden="false" customHeight="true" outlineLevel="0" collapsed="false">
      <c r="B11" s="45" t="s">
        <v>38</v>
      </c>
      <c r="C11" s="45"/>
      <c r="E11" s="51"/>
    </row>
    <row r="12" customFormat="false" ht="19.5" hidden="false" customHeight="true" outlineLevel="0" collapsed="false">
      <c r="B12" s="48" t="s">
        <v>39</v>
      </c>
      <c r="C12" s="47" t="n">
        <f aca="false">SUM(C7:E7)</f>
        <v>16503.629312</v>
      </c>
      <c r="E12" s="51"/>
    </row>
    <row r="13" customFormat="false" ht="19.5" hidden="false" customHeight="true" outlineLevel="0" collapsed="false">
      <c r="B13" s="48" t="s">
        <v>40</v>
      </c>
      <c r="C13" s="47" t="n">
        <f aca="false">SUM(C8:E8)</f>
        <v>198043.551744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AW26"/>
  <sheetViews>
    <sheetView showFormulas="false" showGridLines="false" showRowColHeaders="true" showZeros="true" rightToLeft="false" tabSelected="false" showOutlineSymbols="true" defaultGridColor="true" view="normal" topLeftCell="AK1" colorId="64" zoomScale="110" zoomScaleNormal="110" zoomScalePageLayoutView="100" workbookViewId="0">
      <selection pane="topLeft" activeCell="AP6" activeCellId="0" sqref="AP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8.38"/>
    <col collapsed="false" customWidth="true" hidden="false" outlineLevel="0" max="17" min="17" style="17" width="33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"/>
    <col collapsed="false" customWidth="true" hidden="false" outlineLevel="0" max="36" min="36" style="17" width="10.62"/>
    <col collapsed="false" customWidth="true" hidden="false" outlineLevel="0" max="40" min="37" style="17" width="11.75"/>
    <col collapsed="false" customWidth="true" hidden="false" outlineLevel="0" max="42" min="41" style="17" width="11.38"/>
    <col collapsed="false" customWidth="true" hidden="false" outlineLevel="0" max="43" min="43" style="17" width="12.88"/>
    <col collapsed="false" customWidth="true" hidden="false" outlineLevel="0" max="44" min="44" style="17" width="3.38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256" min="50" style="17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2" customFormat="true" ht="24.75" hidden="false" customHeight="true" outlineLevel="0" collapsed="false">
      <c r="B2" s="53" t="str">
        <f aca="false">"BASE "&amp;Resumo!B5&amp;" - PLANILHA DE FORMAÇÃO DE PREÇOS"</f>
        <v>BASE PORTO ALEGRE - PLANILHA DE FORMAÇÃO DE PREÇOS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/>
      <c r="Q2" s="43" t="str">
        <f aca="false">"BASE "&amp;Resumo!B5&amp;" – PLANILHA DE DISTRIBUIÇÃO DE CUSTOS POR UNIDADE"</f>
        <v>BASE PORTO ALEGRE – PLANILHA DE DISTRIBUIÇÃO DE CUSTOS POR UNIDADE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55"/>
      <c r="AI2" s="56" t="str">
        <f aca="false">"BASE "&amp;Resumo!B5&amp;" – PLANILHA RESUMO DE CUSTOS DA BASE"</f>
        <v>BASE PORTO ALEGRE – PLANILHA RESUMO DE CUSTOS DA BASE</v>
      </c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</row>
    <row r="3" customFormat="false" ht="15" hidden="false" customHeight="true" outlineLevel="0" collapsed="false">
      <c r="B3" s="52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</row>
    <row r="4" s="34" customFormat="true" ht="19.5" hidden="false" customHeight="true" outlineLevel="0" collapsed="false">
      <c r="B4" s="46" t="s">
        <v>41</v>
      </c>
      <c r="C4" s="46" t="s">
        <v>42</v>
      </c>
      <c r="D4" s="46"/>
      <c r="E4" s="46"/>
      <c r="F4" s="46"/>
      <c r="G4" s="46"/>
      <c r="H4" s="46" t="s">
        <v>43</v>
      </c>
      <c r="I4" s="46"/>
      <c r="J4" s="46"/>
      <c r="K4" s="46"/>
      <c r="L4" s="46"/>
      <c r="M4" s="46"/>
      <c r="N4" s="46"/>
      <c r="O4" s="46" t="s">
        <v>28</v>
      </c>
      <c r="P4" s="54"/>
      <c r="Q4" s="46" t="s">
        <v>44</v>
      </c>
      <c r="R4" s="57" t="s">
        <v>45</v>
      </c>
      <c r="S4" s="57"/>
      <c r="T4" s="57"/>
      <c r="U4" s="57"/>
      <c r="V4" s="57" t="s">
        <v>46</v>
      </c>
      <c r="W4" s="57"/>
      <c r="X4" s="57"/>
      <c r="Y4" s="57"/>
      <c r="Z4" s="57" t="s">
        <v>47</v>
      </c>
      <c r="AA4" s="57"/>
      <c r="AB4" s="57"/>
      <c r="AC4" s="57"/>
      <c r="AD4" s="57" t="s">
        <v>48</v>
      </c>
      <c r="AE4" s="57"/>
      <c r="AF4" s="57"/>
      <c r="AG4" s="57"/>
      <c r="AI4" s="46" t="s">
        <v>44</v>
      </c>
      <c r="AJ4" s="58" t="s">
        <v>49</v>
      </c>
      <c r="AK4" s="58"/>
      <c r="AL4" s="58"/>
      <c r="AM4" s="58"/>
      <c r="AN4" s="58"/>
      <c r="AO4" s="58" t="s">
        <v>50</v>
      </c>
      <c r="AP4" s="58"/>
      <c r="AQ4" s="58"/>
      <c r="AR4" s="59"/>
      <c r="AS4" s="58" t="str">
        <f aca="false">"Resumo de Custos da Base "&amp;Resumo!B5</f>
        <v>Resumo de Custos da Base PORTO ALEGRE</v>
      </c>
      <c r="AT4" s="58"/>
      <c r="AU4" s="58"/>
      <c r="AV4" s="58"/>
      <c r="AW4" s="58"/>
    </row>
    <row r="5" customFormat="false" ht="39.75" hidden="false" customHeight="true" outlineLevel="0" collapsed="false">
      <c r="B5" s="46"/>
      <c r="C5" s="46" t="s">
        <v>28</v>
      </c>
      <c r="D5" s="46" t="s">
        <v>51</v>
      </c>
      <c r="E5" s="46" t="s">
        <v>52</v>
      </c>
      <c r="F5" s="46" t="s">
        <v>53</v>
      </c>
      <c r="G5" s="46" t="s">
        <v>54</v>
      </c>
      <c r="H5" s="46" t="s">
        <v>55</v>
      </c>
      <c r="I5" s="46" t="s">
        <v>56</v>
      </c>
      <c r="J5" s="46" t="s">
        <v>57</v>
      </c>
      <c r="K5" s="46" t="s">
        <v>58</v>
      </c>
      <c r="L5" s="46" t="s">
        <v>59</v>
      </c>
      <c r="M5" s="46" t="s">
        <v>60</v>
      </c>
      <c r="N5" s="46" t="s">
        <v>61</v>
      </c>
      <c r="O5" s="46"/>
      <c r="P5" s="54"/>
      <c r="Q5" s="46"/>
      <c r="R5" s="46" t="s">
        <v>62</v>
      </c>
      <c r="S5" s="46" t="s">
        <v>63</v>
      </c>
      <c r="T5" s="46" t="s">
        <v>64</v>
      </c>
      <c r="U5" s="46" t="s">
        <v>65</v>
      </c>
      <c r="V5" s="46" t="s">
        <v>66</v>
      </c>
      <c r="W5" s="46" t="s">
        <v>67</v>
      </c>
      <c r="X5" s="46" t="s">
        <v>68</v>
      </c>
      <c r="Y5" s="46" t="s">
        <v>69</v>
      </c>
      <c r="Z5" s="46" t="s">
        <v>70</v>
      </c>
      <c r="AA5" s="46"/>
      <c r="AB5" s="46"/>
      <c r="AC5" s="46" t="n">
        <f aca="false">N21+'Base Pelotas'!N16</f>
        <v>1344.2</v>
      </c>
      <c r="AD5" s="57" t="s">
        <v>62</v>
      </c>
      <c r="AE5" s="57" t="s">
        <v>63</v>
      </c>
      <c r="AF5" s="57" t="s">
        <v>64</v>
      </c>
      <c r="AG5" s="57" t="s">
        <v>65</v>
      </c>
      <c r="AI5" s="46"/>
      <c r="AJ5" s="57" t="s">
        <v>71</v>
      </c>
      <c r="AK5" s="57" t="s">
        <v>62</v>
      </c>
      <c r="AL5" s="57" t="s">
        <v>63</v>
      </c>
      <c r="AM5" s="57" t="s">
        <v>64</v>
      </c>
      <c r="AN5" s="57" t="s">
        <v>65</v>
      </c>
      <c r="AO5" s="57" t="s">
        <v>72</v>
      </c>
      <c r="AP5" s="57" t="s">
        <v>73</v>
      </c>
      <c r="AQ5" s="57" t="s">
        <v>74</v>
      </c>
      <c r="AR5" s="55"/>
      <c r="AS5" s="57" t="s">
        <v>75</v>
      </c>
      <c r="AT5" s="57" t="s">
        <v>62</v>
      </c>
      <c r="AU5" s="57" t="s">
        <v>63</v>
      </c>
      <c r="AV5" s="57" t="s">
        <v>64</v>
      </c>
      <c r="AW5" s="57" t="s">
        <v>65</v>
      </c>
    </row>
    <row r="6" customFormat="false" ht="19.5" hidden="false" customHeight="true" outlineLevel="0" collapsed="false">
      <c r="B6" s="46"/>
      <c r="C6" s="60" t="s">
        <v>76</v>
      </c>
      <c r="D6" s="60" t="n">
        <v>1</v>
      </c>
      <c r="E6" s="60" t="n">
        <v>0.35</v>
      </c>
      <c r="F6" s="60" t="n">
        <v>0.1</v>
      </c>
      <c r="G6" s="46"/>
      <c r="H6" s="60" t="n">
        <v>1</v>
      </c>
      <c r="I6" s="60" t="n">
        <v>1.2</v>
      </c>
      <c r="J6" s="60" t="n">
        <v>2</v>
      </c>
      <c r="K6" s="60" t="n">
        <v>4</v>
      </c>
      <c r="L6" s="60" t="n">
        <v>1.1</v>
      </c>
      <c r="M6" s="60" t="n">
        <v>1.1</v>
      </c>
      <c r="N6" s="46"/>
      <c r="O6" s="46"/>
      <c r="P6" s="61"/>
      <c r="Q6" s="46"/>
      <c r="R6" s="60" t="s">
        <v>77</v>
      </c>
      <c r="S6" s="60" t="s">
        <v>78</v>
      </c>
      <c r="T6" s="60" t="s">
        <v>79</v>
      </c>
      <c r="U6" s="60" t="s">
        <v>80</v>
      </c>
      <c r="V6" s="46"/>
      <c r="W6" s="46"/>
      <c r="X6" s="46"/>
      <c r="Y6" s="46"/>
      <c r="Z6" s="36" t="s">
        <v>62</v>
      </c>
      <c r="AA6" s="36" t="s">
        <v>63</v>
      </c>
      <c r="AB6" s="36" t="s">
        <v>64</v>
      </c>
      <c r="AC6" s="36" t="s">
        <v>65</v>
      </c>
      <c r="AD6" s="57"/>
      <c r="AE6" s="57"/>
      <c r="AF6" s="57"/>
      <c r="AG6" s="57"/>
      <c r="AI6" s="46"/>
      <c r="AJ6" s="57"/>
      <c r="AK6" s="57"/>
      <c r="AL6" s="57"/>
      <c r="AM6" s="57"/>
      <c r="AN6" s="57"/>
      <c r="AO6" s="57"/>
      <c r="AP6" s="57" t="n">
        <f aca="false">72.5/27.5</f>
        <v>2.63636363636364</v>
      </c>
      <c r="AQ6" s="57"/>
      <c r="AR6" s="62"/>
      <c r="AS6" s="57"/>
      <c r="AT6" s="36" t="s">
        <v>77</v>
      </c>
      <c r="AU6" s="36" t="s">
        <v>78</v>
      </c>
      <c r="AV6" s="36" t="s">
        <v>79</v>
      </c>
      <c r="AW6" s="36" t="s">
        <v>80</v>
      </c>
    </row>
    <row r="7" s="2" customFormat="true" ht="15" hidden="false" customHeight="true" outlineLevel="0" collapsed="false">
      <c r="B7" s="63" t="s">
        <v>81</v>
      </c>
      <c r="C7" s="64" t="n">
        <f aca="false">VLOOKUP($B7,Unidades!$D$5:$N$27,6,FALSE())</f>
        <v>1237.91</v>
      </c>
      <c r="D7" s="64" t="n">
        <f aca="false">VLOOKUP($B7,Unidades!$D$5:$N$27,7,FALSE())</f>
        <v>1047.75</v>
      </c>
      <c r="E7" s="64" t="n">
        <f aca="false">VLOOKUP($B7,Unidades!$D$5:$N$27,8,FALSE())</f>
        <v>190.16</v>
      </c>
      <c r="F7" s="64" t="n">
        <f aca="false">VLOOKUP($B7,Unidades!$D$5:$N$27,9,FALSE())</f>
        <v>0</v>
      </c>
      <c r="G7" s="64" t="n">
        <f aca="false">D7+E7*$E$6+F7*$F$6</f>
        <v>1114.306</v>
      </c>
      <c r="H7" s="65" t="n">
        <f aca="false">IF(G7&lt;750,1.5,IF(G7&lt;2000,2,IF(G7&lt;4000,3,12)))</f>
        <v>2</v>
      </c>
      <c r="I7" s="65" t="n">
        <f aca="false">$I$6*H7</f>
        <v>2.4</v>
      </c>
      <c r="J7" s="65" t="str">
        <f aca="false">VLOOKUP($B7,Unidades!$D$5:$N$27,10,FALSE())</f>
        <v>SIM</v>
      </c>
      <c r="K7" s="65" t="str">
        <f aca="false">VLOOKUP($B7,Unidades!$D$5:$N$27,11,FALSE())</f>
        <v>SIM</v>
      </c>
      <c r="L7" s="65" t="n">
        <f aca="false">$L$6*H7+(IF(J7="SIM",$J$6,0))</f>
        <v>4.2</v>
      </c>
      <c r="M7" s="65" t="n">
        <f aca="false">$M$6*H7+(IF(J7="SIM",$J$6,0))+(IF(K7="SIM",$K$6,0))</f>
        <v>8.2</v>
      </c>
      <c r="N7" s="65" t="n">
        <f aca="false">H7*12+I7*4+L7*2+M7</f>
        <v>50.2</v>
      </c>
      <c r="O7" s="66" t="n">
        <f aca="false">IF(K7="não", N7*(C$24+D$24),N7*(C$24+D$24)+(M7*+E$24))</f>
        <v>2967.7707384</v>
      </c>
      <c r="P7" s="67"/>
      <c r="Q7" s="23" t="str">
        <f aca="false">B7</f>
        <v>APS ESTEIO</v>
      </c>
      <c r="R7" s="25" t="n">
        <f aca="false">H7*($C$24+$D$24)</f>
        <v>106.421384</v>
      </c>
      <c r="S7" s="25" t="n">
        <f aca="false">I7*($C$24+$D$24)</f>
        <v>127.7056608</v>
      </c>
      <c r="T7" s="25" t="n">
        <f aca="false">L7*($C$24+$D$24)</f>
        <v>223.4849064</v>
      </c>
      <c r="U7" s="25" t="n">
        <f aca="false">IF(K7="não",M7*($C$24+$D$24),M7*(C$24+D$24+E$24))</f>
        <v>732.9216744</v>
      </c>
      <c r="V7" s="25" t="n">
        <f aca="false">VLOOKUP(Q7,'Desl. Base Porto Alegre'!$C$5:$S$18,13,FALSE())*($C$24+$D$24+$E$24*(VLOOKUP(Q7,'Desl. Base Porto Alegre'!$C$5:$S$18,17,FALSE())/12))</f>
        <v>29.0495103111111</v>
      </c>
      <c r="W7" s="25" t="n">
        <f aca="false">VLOOKUP(Q7,'Desl. Base Porto Alegre'!$C$5:$S$18,15,FALSE())*(2+(VLOOKUP(Q7,'Desl. Base Porto Alegre'!$C$5:$S$18,17,FALSE())/12))</f>
        <v>0</v>
      </c>
      <c r="X7" s="25" t="n">
        <f aca="false">VLOOKUP(Q7,'Desl. Base Porto Alegre'!$C$5:$Q$18,14,FALSE())</f>
        <v>0</v>
      </c>
      <c r="Y7" s="25" t="n">
        <f aca="false">VLOOKUP(Q7,'Desl. Base Porto Alegre'!$C$5:$Q$18,13,FALSE())*'Desl. Base Porto Alegre'!$E$23+'Desl. Base Porto Alegre'!$E$24*N7/12</f>
        <v>54.5625</v>
      </c>
      <c r="Z7" s="25" t="n">
        <f aca="false">(H7/$AC$5)*'Equipe Técnica'!$C$13</f>
        <v>294.663817503348</v>
      </c>
      <c r="AA7" s="25" t="n">
        <f aca="false">(I7/$AC$5)*'Equipe Técnica'!$C$13</f>
        <v>353.596581004017</v>
      </c>
      <c r="AB7" s="25" t="n">
        <f aca="false">(L7/$AC$5)*'Equipe Técnica'!$C$13</f>
        <v>618.79401675703</v>
      </c>
      <c r="AC7" s="25" t="n">
        <f aca="false">(M7/$AC$5)*'Equipe Técnica'!$C$13</f>
        <v>1208.12165176373</v>
      </c>
      <c r="AD7" s="25" t="n">
        <f aca="false">R7+(($V7+$W7+$X7+$Y7)*12/19)+$Z7</f>
        <v>453.892786962997</v>
      </c>
      <c r="AE7" s="25" t="n">
        <f aca="false">S7+(($V7+$W7+$X7+$Y7)*12/19)+$AA7</f>
        <v>534.109827263666</v>
      </c>
      <c r="AF7" s="25" t="n">
        <f aca="false">T7+(($V7+$W7+$X7+$Y7)*12/19)+$AB7</f>
        <v>895.086508616679</v>
      </c>
      <c r="AG7" s="25" t="n">
        <f aca="false">U7+(($V7+$W7+$X7+$Y7)*12/19)+$AC7</f>
        <v>1993.85091162337</v>
      </c>
      <c r="AI7" s="23" t="str">
        <f aca="false">B7</f>
        <v>APS ESTEIO</v>
      </c>
      <c r="AJ7" s="68" t="n">
        <f aca="false">VLOOKUP(AI7,Unidades!D$5:H$27,5,)</f>
        <v>0.2223</v>
      </c>
      <c r="AK7" s="47" t="n">
        <f aca="false">AD7*(1+$AJ7)</f>
        <v>554.793153504871</v>
      </c>
      <c r="AL7" s="47" t="n">
        <f aca="false">AE7*(1+$AJ7)</f>
        <v>652.842441864379</v>
      </c>
      <c r="AM7" s="47" t="n">
        <f aca="false">AF7*(1+$AJ7)</f>
        <v>1094.06423948217</v>
      </c>
      <c r="AN7" s="47" t="n">
        <f aca="false">AG7*(1+$AJ7)</f>
        <v>2437.08396927725</v>
      </c>
      <c r="AO7" s="47" t="n">
        <f aca="false">((AK7*12)+(AL7*4)+(AM7*2)+AN7)/12</f>
        <v>1157.8416714798</v>
      </c>
      <c r="AP7" s="47" t="n">
        <f aca="false">AO7*$AP$6</f>
        <v>3052.49167935583</v>
      </c>
      <c r="AQ7" s="47" t="n">
        <f aca="false">AO7+AP7</f>
        <v>4210.33335083562</v>
      </c>
      <c r="AR7" s="69"/>
      <c r="AS7" s="70" t="s">
        <v>82</v>
      </c>
      <c r="AT7" s="47" t="n">
        <f aca="false">AK21</f>
        <v>12581.1166782717</v>
      </c>
      <c r="AU7" s="47" t="n">
        <f aca="false">AL21</f>
        <v>14898.578950854</v>
      </c>
      <c r="AV7" s="47" t="n">
        <f aca="false">AM21</f>
        <v>17221.7887743738</v>
      </c>
      <c r="AW7" s="47" t="n">
        <f aca="false">AN21</f>
        <v>31596.4354224099</v>
      </c>
    </row>
    <row r="8" s="2" customFormat="true" ht="15" hidden="false" customHeight="true" outlineLevel="0" collapsed="false">
      <c r="B8" s="63" t="s">
        <v>83</v>
      </c>
      <c r="C8" s="64" t="n">
        <f aca="false">VLOOKUP($B8,Unidades!$D$5:$N$27,6,FALSE())</f>
        <v>142.98</v>
      </c>
      <c r="D8" s="64" t="n">
        <f aca="false">VLOOKUP($B8,Unidades!$D$5:$N$27,7,FALSE())</f>
        <v>142.98</v>
      </c>
      <c r="E8" s="64" t="n">
        <f aca="false">VLOOKUP($B8,Unidades!$D$5:$N$27,8,FALSE())</f>
        <v>0</v>
      </c>
      <c r="F8" s="64" t="n">
        <f aca="false">VLOOKUP($B8,Unidades!$D$5:$N$27,9,FALSE())</f>
        <v>0</v>
      </c>
      <c r="G8" s="64" t="n">
        <f aca="false">D8+E8*$E$6+F8*$F$6</f>
        <v>142.98</v>
      </c>
      <c r="H8" s="65" t="n">
        <f aca="false">IF(G8&lt;750,1.5,IF(G8&lt;2000,2,IF(G8&lt;4000,3,12)))</f>
        <v>1.5</v>
      </c>
      <c r="I8" s="65" t="n">
        <f aca="false">$I$6*H8</f>
        <v>1.8</v>
      </c>
      <c r="J8" s="65" t="str">
        <f aca="false">VLOOKUP($B8,Unidades!$D$5:$N$27,10,FALSE())</f>
        <v>NÃO</v>
      </c>
      <c r="K8" s="65" t="str">
        <f aca="false">VLOOKUP($B8,Unidades!$D$5:$N$27,11,FALSE())</f>
        <v>NÃO</v>
      </c>
      <c r="L8" s="65" t="n">
        <f aca="false">$L$6*H8+(IF(J8="SIM",$J$6,0))</f>
        <v>1.65</v>
      </c>
      <c r="M8" s="65" t="n">
        <f aca="false">$M$6*H8+(IF(J8="SIM",$J$6,0))+(IF(K8="SIM",$K$6,0))</f>
        <v>1.65</v>
      </c>
      <c r="N8" s="65" t="n">
        <f aca="false">H8*12+I8*4+L8*2+M8</f>
        <v>30.15</v>
      </c>
      <c r="O8" s="66" t="n">
        <f aca="false">IF(K8="não", N8*(C$24+D$24),N8*(C$24+D$24)+(M8*+E$24))</f>
        <v>1604.3023638</v>
      </c>
      <c r="P8" s="67"/>
      <c r="Q8" s="23" t="str">
        <f aca="false">B8</f>
        <v>APS CACHOEIRINHA</v>
      </c>
      <c r="R8" s="25" t="n">
        <f aca="false">H8*($C$24+$D$24)</f>
        <v>79.816038</v>
      </c>
      <c r="S8" s="25" t="n">
        <f aca="false">I8*($C$24+$D$24)</f>
        <v>95.7792456</v>
      </c>
      <c r="T8" s="25" t="n">
        <f aca="false">L8*($C$24+$D$24)</f>
        <v>87.7976418</v>
      </c>
      <c r="U8" s="25" t="n">
        <f aca="false">IF(K8="não",M8*($C$24+$D$24),M8*(C$24+D$24+E$24))</f>
        <v>87.7976418</v>
      </c>
      <c r="V8" s="25" t="n">
        <f aca="false">VLOOKUP(Q8,'Desl. Base Porto Alegre'!$C$5:$S$18,13,FALSE())*($C$24+$D$24+$E$24*(VLOOKUP(Q8,'Desl. Base Porto Alegre'!$C$5:$S$18,17,FALSE())/12))</f>
        <v>39.3574010666667</v>
      </c>
      <c r="W8" s="25" t="n">
        <f aca="false">VLOOKUP(Q8,'Desl. Base Porto Alegre'!$C$5:$S$18,15,FALSE())*(2+(VLOOKUP(Q8,'Desl. Base Porto Alegre'!$C$5:$S$18,17,FALSE())/12))</f>
        <v>0</v>
      </c>
      <c r="X8" s="25" t="n">
        <f aca="false">VLOOKUP(Q8,'Desl. Base Porto Alegre'!$C$5:$Q$18,14,FALSE())</f>
        <v>0</v>
      </c>
      <c r="Y8" s="25" t="n">
        <f aca="false">VLOOKUP(Q8,'Desl. Base Porto Alegre'!$C$5:$Q$18,13,FALSE())*'Desl. Base Porto Alegre'!$E$23+'Desl. Base Porto Alegre'!$E$24*N8/12</f>
        <v>53.225</v>
      </c>
      <c r="Z8" s="25" t="n">
        <f aca="false">(H8/$AC$5)*'Equipe Técnica'!$C$13</f>
        <v>220.997863127511</v>
      </c>
      <c r="AA8" s="25" t="n">
        <f aca="false">(I8/$AC$5)*'Equipe Técnica'!$C$13</f>
        <v>265.197435753013</v>
      </c>
      <c r="AB8" s="25" t="n">
        <f aca="false">(L8/$AC$5)*'Equipe Técnica'!$C$13</f>
        <v>243.097649440262</v>
      </c>
      <c r="AC8" s="25" t="n">
        <f aca="false">(M8/$AC$5)*'Equipe Técnica'!$C$13</f>
        <v>243.097649440262</v>
      </c>
      <c r="AD8" s="25" t="n">
        <f aca="false">R8+(($V8+$W8+$X8+$Y8)*12/19)+$Z8</f>
        <v>359.286996538037</v>
      </c>
      <c r="AE8" s="25" t="n">
        <f aca="false">S8+(($V8+$W8+$X8+$Y8)*12/19)+$AA8</f>
        <v>419.449776763539</v>
      </c>
      <c r="AF8" s="25" t="n">
        <f aca="false">T8+(($V8+$W8+$X8+$Y8)*12/19)+$AB8</f>
        <v>389.368386650788</v>
      </c>
      <c r="AG8" s="25" t="n">
        <f aca="false">U8+(($V8+$W8+$X8+$Y8)*12/19)+$AC8</f>
        <v>389.368386650788</v>
      </c>
      <c r="AI8" s="23" t="str">
        <f aca="false">B8</f>
        <v>APS CACHOEIRINHA</v>
      </c>
      <c r="AJ8" s="68" t="n">
        <f aca="false">VLOOKUP(AI8,Unidades!D$5:H$27,5,)</f>
        <v>0.2354</v>
      </c>
      <c r="AK8" s="47" t="n">
        <f aca="false">AD8*(1+$AJ8)</f>
        <v>443.863155523091</v>
      </c>
      <c r="AL8" s="47" t="n">
        <f aca="false">AE8*(1+$AJ8)</f>
        <v>518.188254213676</v>
      </c>
      <c r="AM8" s="47" t="n">
        <f aca="false">AF8*(1+$AJ8)</f>
        <v>481.025704868384</v>
      </c>
      <c r="AN8" s="47" t="n">
        <f aca="false">AG8*(1+$AJ8)</f>
        <v>481.025704868384</v>
      </c>
      <c r="AO8" s="47" t="n">
        <f aca="false">((AK8*12)+(AL8*4)+(AM8*2)+AN8)/12</f>
        <v>736.848999811412</v>
      </c>
      <c r="AP8" s="47" t="n">
        <f aca="false">AO8*$AP$6</f>
        <v>1942.60190859372</v>
      </c>
      <c r="AQ8" s="47" t="n">
        <f aca="false">AO8+AP8</f>
        <v>2679.45090840514</v>
      </c>
      <c r="AR8" s="69"/>
      <c r="AS8" s="70" t="s">
        <v>84</v>
      </c>
      <c r="AT8" s="47" t="n">
        <f aca="false">AT7*12</f>
        <v>150973.40013926</v>
      </c>
      <c r="AU8" s="47" t="n">
        <f aca="false">AU7*4</f>
        <v>59594.315803416</v>
      </c>
      <c r="AV8" s="47" t="n">
        <f aca="false">AV7*2</f>
        <v>34443.5775487477</v>
      </c>
      <c r="AW8" s="47" t="n">
        <f aca="false">AW7</f>
        <v>31596.4354224099</v>
      </c>
    </row>
    <row r="9" s="2" customFormat="true" ht="15" hidden="false" customHeight="true" outlineLevel="0" collapsed="false">
      <c r="B9" s="63" t="s">
        <v>85</v>
      </c>
      <c r="C9" s="64" t="n">
        <f aca="false">VLOOKUP($B9,Unidades!$D$5:$N$27,6,FALSE())</f>
        <v>1320.78</v>
      </c>
      <c r="D9" s="64" t="n">
        <f aca="false">VLOOKUP($B9,Unidades!$D$5:$N$27,7,FALSE())</f>
        <v>925.8</v>
      </c>
      <c r="E9" s="64" t="n">
        <f aca="false">VLOOKUP($B9,Unidades!$D$5:$N$27,8,FALSE())</f>
        <v>394.98</v>
      </c>
      <c r="F9" s="64" t="n">
        <f aca="false">VLOOKUP($B9,Unidades!$D$5:$N$27,9,FALSE())</f>
        <v>0</v>
      </c>
      <c r="G9" s="64" t="n">
        <f aca="false">D9+E9*$E$6+F9*$F$6</f>
        <v>1064.043</v>
      </c>
      <c r="H9" s="65" t="n">
        <f aca="false">IF(G9&lt;750,1.5,IF(G9&lt;2000,2,IF(G9&lt;4000,3,12)))</f>
        <v>2</v>
      </c>
      <c r="I9" s="65" t="n">
        <f aca="false">$I$6*H9</f>
        <v>2.4</v>
      </c>
      <c r="J9" s="65" t="str">
        <f aca="false">VLOOKUP($B9,Unidades!$D$5:$N$27,10,FALSE())</f>
        <v>SIM</v>
      </c>
      <c r="K9" s="65" t="str">
        <f aca="false">VLOOKUP($B9,Unidades!$D$5:$N$27,11,FALSE())</f>
        <v>SIM</v>
      </c>
      <c r="L9" s="65" t="n">
        <f aca="false">$L$6*H9+(IF(J9="SIM",$J$6,0))</f>
        <v>4.2</v>
      </c>
      <c r="M9" s="65" t="n">
        <f aca="false">$M$6*H9+(IF(J9="SIM",$J$6,0))+(IF(K9="SIM",$K$6,0))</f>
        <v>8.2</v>
      </c>
      <c r="N9" s="65" t="n">
        <f aca="false">H9*12+I9*4+L9*2+M9</f>
        <v>50.2</v>
      </c>
      <c r="O9" s="66" t="n">
        <f aca="false">IF(K9="não", N9*(C$24+D$24),N9*(C$24+D$24)+(M9*+E$24))</f>
        <v>2967.7707384</v>
      </c>
      <c r="P9" s="67"/>
      <c r="Q9" s="23" t="str">
        <f aca="false">B9</f>
        <v>APS GRAVATAÍ</v>
      </c>
      <c r="R9" s="25" t="n">
        <f aca="false">H9*($C$24+$D$24)</f>
        <v>106.421384</v>
      </c>
      <c r="S9" s="25" t="n">
        <f aca="false">I9*($C$24+$D$24)</f>
        <v>127.7056608</v>
      </c>
      <c r="T9" s="25" t="n">
        <f aca="false">L9*($C$24+$D$24)</f>
        <v>223.4849064</v>
      </c>
      <c r="U9" s="25" t="n">
        <f aca="false">IF(K9="não",M9*($C$24+$D$24),M9*(C$24+D$24+E$24))</f>
        <v>732.9216744</v>
      </c>
      <c r="V9" s="25" t="n">
        <f aca="false">VLOOKUP(Q9,'Desl. Base Porto Alegre'!$C$5:$S$18,13,FALSE())*($C$24+$D$24+$E$24*(VLOOKUP(Q9,'Desl. Base Porto Alegre'!$C$5:$S$18,17,FALSE())/12))</f>
        <v>39.3574010666667</v>
      </c>
      <c r="W9" s="25" t="n">
        <f aca="false">VLOOKUP(Q9,'Desl. Base Porto Alegre'!$C$5:$S$18,15,FALSE())*(2+(VLOOKUP(Q9,'Desl. Base Porto Alegre'!$C$5:$S$18,17,FALSE())/12))</f>
        <v>0</v>
      </c>
      <c r="X9" s="25" t="n">
        <f aca="false">VLOOKUP(Q9,'Desl. Base Porto Alegre'!$C$5:$Q$18,14,FALSE())</f>
        <v>0</v>
      </c>
      <c r="Y9" s="25" t="n">
        <f aca="false">VLOOKUP(Q9,'Desl. Base Porto Alegre'!$C$5:$Q$18,13,FALSE())*'Desl. Base Porto Alegre'!$E$23+'Desl. Base Porto Alegre'!$E$24*N9/12</f>
        <v>64.1856666666667</v>
      </c>
      <c r="Z9" s="25" t="n">
        <f aca="false">(H9/$AC$5)*'Equipe Técnica'!$C$13</f>
        <v>294.663817503348</v>
      </c>
      <c r="AA9" s="25" t="n">
        <f aca="false">(I9/$AC$5)*'Equipe Técnica'!$C$13</f>
        <v>353.596581004017</v>
      </c>
      <c r="AB9" s="25" t="n">
        <f aca="false">(L9/$AC$5)*'Equipe Técnica'!$C$13</f>
        <v>618.79401675703</v>
      </c>
      <c r="AC9" s="25" t="n">
        <f aca="false">(M9/$AC$5)*'Equipe Técnica'!$C$13</f>
        <v>1208.12165176373</v>
      </c>
      <c r="AD9" s="25" t="n">
        <f aca="false">R9+(($V9+$W9+$X9+$Y9)*12/19)+$Z9</f>
        <v>466.480823229663</v>
      </c>
      <c r="AE9" s="25" t="n">
        <f aca="false">S9+(($V9+$W9+$X9+$Y9)*12/19)+$AA9</f>
        <v>546.697863530333</v>
      </c>
      <c r="AF9" s="25" t="n">
        <f aca="false">T9+(($V9+$W9+$X9+$Y9)*12/19)+$AB9</f>
        <v>907.674544883346</v>
      </c>
      <c r="AG9" s="25" t="n">
        <f aca="false">U9+(($V9+$W9+$X9+$Y9)*12/19)+$AC9</f>
        <v>2006.43894789004</v>
      </c>
      <c r="AI9" s="23" t="str">
        <f aca="false">B9</f>
        <v>APS GRAVATAÍ</v>
      </c>
      <c r="AJ9" s="68" t="n">
        <f aca="false">VLOOKUP(AI9,Unidades!D$5:H$27,5,)</f>
        <v>0.2288</v>
      </c>
      <c r="AK9" s="47" t="n">
        <f aca="false">AD9*(1+$AJ9)</f>
        <v>573.211635584611</v>
      </c>
      <c r="AL9" s="47" t="n">
        <f aca="false">AE9*(1+$AJ9)</f>
        <v>671.782334706073</v>
      </c>
      <c r="AM9" s="47" t="n">
        <f aca="false">AF9*(1+$AJ9)</f>
        <v>1115.35048075266</v>
      </c>
      <c r="AN9" s="47" t="n">
        <f aca="false">AG9*(1+$AJ9)</f>
        <v>2465.51217916728</v>
      </c>
      <c r="AO9" s="47" t="n">
        <f aca="false">((AK9*12)+(AL9*4)+(AM9*2)+AN9)/12</f>
        <v>1188.49017554268</v>
      </c>
      <c r="AP9" s="47" t="n">
        <f aca="false">AO9*$AP$6</f>
        <v>3133.29228097617</v>
      </c>
      <c r="AQ9" s="47" t="n">
        <f aca="false">AO9+AP9</f>
        <v>4321.78245651885</v>
      </c>
      <c r="AR9" s="69"/>
      <c r="AS9" s="69"/>
      <c r="AT9" s="71"/>
      <c r="AU9" s="71"/>
      <c r="AV9" s="71"/>
      <c r="AW9" s="71"/>
    </row>
    <row r="10" s="2" customFormat="true" ht="15" hidden="false" customHeight="true" outlineLevel="0" collapsed="false">
      <c r="B10" s="63" t="s">
        <v>86</v>
      </c>
      <c r="C10" s="64" t="n">
        <f aca="false">VLOOKUP($B10,Unidades!$D$5:$N$27,6,FALSE())</f>
        <v>1577.06</v>
      </c>
      <c r="D10" s="64" t="n">
        <f aca="false">VLOOKUP($B10,Unidades!$D$5:$N$27,7,FALSE())</f>
        <v>784.54</v>
      </c>
      <c r="E10" s="64" t="n">
        <f aca="false">VLOOKUP($B10,Unidades!$D$5:$N$27,8,FALSE())</f>
        <v>565.1</v>
      </c>
      <c r="F10" s="64" t="n">
        <f aca="false">VLOOKUP($B10,Unidades!$D$5:$N$27,9,FALSE())</f>
        <v>227.42</v>
      </c>
      <c r="G10" s="64" t="n">
        <f aca="false">D10+E10*$E$6+F10*$F$6</f>
        <v>1005.067</v>
      </c>
      <c r="H10" s="65" t="n">
        <f aca="false">IF(G10&lt;750,1.5,IF(G10&lt;2000,2,IF(G10&lt;4000,3,12)))</f>
        <v>2</v>
      </c>
      <c r="I10" s="65" t="n">
        <f aca="false">$I$6*H10</f>
        <v>2.4</v>
      </c>
      <c r="J10" s="65" t="str">
        <f aca="false">VLOOKUP($B10,Unidades!$D$5:$N$27,10,FALSE())</f>
        <v>NÃO</v>
      </c>
      <c r="K10" s="65" t="str">
        <f aca="false">VLOOKUP($B10,Unidades!$D$5:$N$27,11,FALSE())</f>
        <v>SIM</v>
      </c>
      <c r="L10" s="65" t="n">
        <f aca="false">$L$6*H10+(IF(J10="SIM",$J$6,0))</f>
        <v>2.2</v>
      </c>
      <c r="M10" s="65" t="n">
        <f aca="false">$M$6*H10+(IF(J10="SIM",$J$6,0))+(IF(K10="SIM",$K$6,0))</f>
        <v>6.2</v>
      </c>
      <c r="N10" s="65" t="n">
        <f aca="false">H10*12+I10*4+L10*2+M10</f>
        <v>44.2</v>
      </c>
      <c r="O10" s="66" t="n">
        <f aca="false">IF(K10="não", N10*(C$24+D$24),N10*(C$24+D$24)+(M10*+E$24))</f>
        <v>2576.1665864</v>
      </c>
      <c r="P10" s="67"/>
      <c r="Q10" s="23" t="str">
        <f aca="false">B10</f>
        <v>APS GUAÍBA</v>
      </c>
      <c r="R10" s="25" t="n">
        <f aca="false">H10*($C$24+$D$24)</f>
        <v>106.421384</v>
      </c>
      <c r="S10" s="25" t="n">
        <f aca="false">I10*($C$24+$D$24)</f>
        <v>127.7056608</v>
      </c>
      <c r="T10" s="25" t="n">
        <f aca="false">L10*($C$24+$D$24)</f>
        <v>117.0635224</v>
      </c>
      <c r="U10" s="25" t="n">
        <f aca="false">IF(K10="não",M10*($C$24+$D$24),M10*(C$24+D$24+E$24))</f>
        <v>554.1602904</v>
      </c>
      <c r="V10" s="25" t="n">
        <f aca="false">VLOOKUP(Q10,'Desl. Base Porto Alegre'!$C$5:$S$18,13,FALSE())*($C$24+$D$24+$E$24*(VLOOKUP(Q10,'Desl. Base Porto Alegre'!$C$5:$S$18,17,FALSE())/12))</f>
        <v>52.4765347555556</v>
      </c>
      <c r="W10" s="25" t="n">
        <f aca="false">VLOOKUP(Q10,'Desl. Base Porto Alegre'!$C$5:$S$18,15,FALSE())*(2+(VLOOKUP(Q10,'Desl. Base Porto Alegre'!$C$5:$S$18,17,FALSE())/12))</f>
        <v>0</v>
      </c>
      <c r="X10" s="25" t="n">
        <f aca="false">VLOOKUP(Q10,'Desl. Base Porto Alegre'!$C$5:$Q$18,14,FALSE())</f>
        <v>0</v>
      </c>
      <c r="Y10" s="25" t="n">
        <f aca="false">VLOOKUP(Q10,'Desl. Base Porto Alegre'!$C$5:$Q$18,13,FALSE())*'Desl. Base Porto Alegre'!$E$23+'Desl. Base Porto Alegre'!$E$24*N10/12</f>
        <v>73.1533333333333</v>
      </c>
      <c r="Z10" s="25" t="n">
        <f aca="false">(H10/$AC$5)*'Equipe Técnica'!$C$13</f>
        <v>294.663817503348</v>
      </c>
      <c r="AA10" s="25" t="n">
        <f aca="false">(I10/$AC$5)*'Equipe Técnica'!$C$13</f>
        <v>353.596581004017</v>
      </c>
      <c r="AB10" s="25" t="n">
        <f aca="false">(L10/$AC$5)*'Equipe Técnica'!$C$13</f>
        <v>324.130199253683</v>
      </c>
      <c r="AC10" s="25" t="n">
        <f aca="false">(M10/$AC$5)*'Equipe Técnica'!$C$13</f>
        <v>913.457834260378</v>
      </c>
      <c r="AD10" s="25" t="n">
        <f aca="false">R10+(($V10+$W10+$X10+$Y10)*12/19)+$Z10</f>
        <v>480.430381348962</v>
      </c>
      <c r="AE10" s="25" t="n">
        <f aca="false">S10+(($V10+$W10+$X10+$Y10)*12/19)+$AA10</f>
        <v>560.647421649631</v>
      </c>
      <c r="AF10" s="25" t="n">
        <f aca="false">T10+(($V10+$W10+$X10+$Y10)*12/19)+$AB10</f>
        <v>520.538901499297</v>
      </c>
      <c r="AG10" s="25" t="n">
        <f aca="false">U10+(($V10+$W10+$X10+$Y10)*12/19)+$AC10</f>
        <v>1546.96330450599</v>
      </c>
      <c r="AI10" s="23" t="str">
        <f aca="false">B10</f>
        <v>APS GUAÍBA</v>
      </c>
      <c r="AJ10" s="68" t="n">
        <f aca="false">VLOOKUP(AI10,Unidades!D$5:H$27,5,)</f>
        <v>0.2223</v>
      </c>
      <c r="AK10" s="47" t="n">
        <f aca="false">AD10*(1+$AJ10)</f>
        <v>587.230055122836</v>
      </c>
      <c r="AL10" s="47" t="n">
        <f aca="false">AE10*(1+$AJ10)</f>
        <v>685.279343482344</v>
      </c>
      <c r="AM10" s="47" t="n">
        <f aca="false">AF10*(1+$AJ10)</f>
        <v>636.25469930259</v>
      </c>
      <c r="AN10" s="47" t="n">
        <f aca="false">AG10*(1+$AJ10)</f>
        <v>1890.85324709767</v>
      </c>
      <c r="AO10" s="47" t="n">
        <f aca="false">((AK10*12)+(AL10*4)+(AM10*2)+AN10)/12</f>
        <v>1079.27005675886</v>
      </c>
      <c r="AP10" s="47" t="n">
        <f aca="false">AO10*$AP$6</f>
        <v>2845.34833145516</v>
      </c>
      <c r="AQ10" s="47" t="n">
        <f aca="false">AO10+AP10</f>
        <v>3924.61838821402</v>
      </c>
      <c r="AR10" s="69"/>
      <c r="AS10" s="72" t="s">
        <v>72</v>
      </c>
      <c r="AT10" s="47" t="n">
        <f aca="false">(SUM(AT8:AW8))/12</f>
        <v>23050.6440761528</v>
      </c>
      <c r="AU10" s="47"/>
      <c r="AV10" s="71"/>
      <c r="AW10" s="71"/>
    </row>
    <row r="11" s="2" customFormat="true" ht="15" hidden="false" customHeight="true" outlineLevel="0" collapsed="false">
      <c r="B11" s="63" t="s">
        <v>87</v>
      </c>
      <c r="C11" s="64" t="n">
        <f aca="false">VLOOKUP($B11,Unidades!$D$5:$N$27,6,FALSE())</f>
        <v>436.8</v>
      </c>
      <c r="D11" s="64" t="n">
        <f aca="false">VLOOKUP($B11,Unidades!$D$5:$N$27,7,FALSE())</f>
        <v>0</v>
      </c>
      <c r="E11" s="64" t="n">
        <f aca="false">VLOOKUP($B11,Unidades!$D$5:$N$27,8,FALSE())</f>
        <v>436.8</v>
      </c>
      <c r="F11" s="64" t="n">
        <f aca="false">VLOOKUP($B11,Unidades!$D$5:$N$27,9,FALSE())</f>
        <v>0</v>
      </c>
      <c r="G11" s="64" t="n">
        <f aca="false">D11+E11*$E$6+F11*$F$6</f>
        <v>152.88</v>
      </c>
      <c r="H11" s="65" t="n">
        <f aca="false">IF(G11&lt;750,1.5,IF(G11&lt;2000,2,IF(G11&lt;4000,3,12)))</f>
        <v>1.5</v>
      </c>
      <c r="I11" s="65" t="n">
        <f aca="false">$I$6*H11</f>
        <v>1.8</v>
      </c>
      <c r="J11" s="65" t="str">
        <f aca="false">VLOOKUP($B11,Unidades!$D$5:$N$27,10,FALSE())</f>
        <v>NÃO</v>
      </c>
      <c r="K11" s="65" t="str">
        <f aca="false">VLOOKUP($B11,Unidades!$D$5:$N$27,11,FALSE())</f>
        <v>NÃO</v>
      </c>
      <c r="L11" s="65" t="n">
        <f aca="false">$L$6*H11+(IF(J11="SIM",$J$6,0))</f>
        <v>1.65</v>
      </c>
      <c r="M11" s="65" t="n">
        <f aca="false">$M$6*H11+(IF(J11="SIM",$J$6,0))+(IF(K11="SIM",$K$6,0))</f>
        <v>1.65</v>
      </c>
      <c r="N11" s="65" t="n">
        <f aca="false">H11*12+I11*4+L11*2+M11</f>
        <v>30.15</v>
      </c>
      <c r="O11" s="66" t="n">
        <f aca="false">IF(K11="não", N11*(C$24+D$24),N11*(C$24+D$24)+(M11*+E$24))</f>
        <v>1604.3023638</v>
      </c>
      <c r="P11" s="67"/>
      <c r="Q11" s="23" t="str">
        <f aca="false">B11</f>
        <v>CEDOCPREV CANOAS</v>
      </c>
      <c r="R11" s="25" t="n">
        <f aca="false">H11*($C$24+$D$24)</f>
        <v>79.816038</v>
      </c>
      <c r="S11" s="25" t="n">
        <f aca="false">I11*($C$24+$D$24)</f>
        <v>95.7792456</v>
      </c>
      <c r="T11" s="25" t="n">
        <f aca="false">L11*($C$24+$D$24)</f>
        <v>87.7976418</v>
      </c>
      <c r="U11" s="25" t="n">
        <f aca="false">IF(K11="não",M11*($C$24+$D$24),M11*(C$24+D$24+E$24))</f>
        <v>87.7976418</v>
      </c>
      <c r="V11" s="25" t="n">
        <f aca="false">VLOOKUP(Q11,'Desl. Base Porto Alegre'!$C$5:$S$18,13,FALSE())*($C$24+$D$24+$E$24*(VLOOKUP(Q11,'Desl. Base Porto Alegre'!$C$5:$S$18,17,FALSE())/12))</f>
        <v>22.0214029777778</v>
      </c>
      <c r="W11" s="25" t="n">
        <f aca="false">VLOOKUP(Q11,'Desl. Base Porto Alegre'!$C$5:$S$18,15,FALSE())*(2+(VLOOKUP(Q11,'Desl. Base Porto Alegre'!$C$5:$S$18,17,FALSE())/12))</f>
        <v>0</v>
      </c>
      <c r="X11" s="25" t="n">
        <f aca="false">VLOOKUP(Q11,'Desl. Base Porto Alegre'!$C$5:$Q$18,14,FALSE())</f>
        <v>0</v>
      </c>
      <c r="Y11" s="25" t="n">
        <f aca="false">VLOOKUP(Q11,'Desl. Base Porto Alegre'!$C$5:$Q$18,13,FALSE())*'Desl. Base Porto Alegre'!$E$23+'Desl. Base Porto Alegre'!$E$24*N11/12</f>
        <v>37.0405833333333</v>
      </c>
      <c r="Z11" s="25" t="n">
        <f aca="false">(H11/$AC$5)*'Equipe Técnica'!$C$13</f>
        <v>220.997863127511</v>
      </c>
      <c r="AA11" s="25" t="n">
        <f aca="false">(I11/$AC$5)*'Equipe Técnica'!$C$13</f>
        <v>265.197435753013</v>
      </c>
      <c r="AB11" s="25" t="n">
        <f aca="false">(L11/$AC$5)*'Equipe Técnica'!$C$13</f>
        <v>243.097649440262</v>
      </c>
      <c r="AC11" s="25" t="n">
        <f aca="false">(M11/$AC$5)*'Equipe Técnica'!$C$13</f>
        <v>243.097649440262</v>
      </c>
      <c r="AD11" s="25" t="n">
        <f aca="false">R11+(($V11+$W11+$X11+$Y11)*12/19)+$Z11</f>
        <v>338.11620827137</v>
      </c>
      <c r="AE11" s="25" t="n">
        <f aca="false">S11+(($V11+$W11+$X11+$Y11)*12/19)+$AA11</f>
        <v>398.278988496873</v>
      </c>
      <c r="AF11" s="25" t="n">
        <f aca="false">T11+(($V11+$W11+$X11+$Y11)*12/19)+$AB11</f>
        <v>368.197598384122</v>
      </c>
      <c r="AG11" s="25" t="n">
        <f aca="false">U11+(($V11+$W11+$X11+$Y11)*12/19)+$AC11</f>
        <v>368.197598384122</v>
      </c>
      <c r="AI11" s="23" t="str">
        <f aca="false">B11</f>
        <v>CEDOCPREV CANOAS</v>
      </c>
      <c r="AJ11" s="68" t="n">
        <f aca="false">VLOOKUP(AI11,Unidades!D$5:H$27,5,)</f>
        <v>0.2354</v>
      </c>
      <c r="AK11" s="47" t="n">
        <f aca="false">AD11*(1+$AJ11)</f>
        <v>417.708763698451</v>
      </c>
      <c r="AL11" s="47" t="n">
        <f aca="false">AE11*(1+$AJ11)</f>
        <v>492.033862389036</v>
      </c>
      <c r="AM11" s="47" t="n">
        <f aca="false">AF11*(1+$AJ11)</f>
        <v>454.871313043744</v>
      </c>
      <c r="AN11" s="47" t="n">
        <f aca="false">AG11*(1+$AJ11)</f>
        <v>454.871313043744</v>
      </c>
      <c r="AO11" s="47" t="n">
        <f aca="false">((AK11*12)+(AL11*4)+(AM11*2)+AN11)/12</f>
        <v>695.437879422399</v>
      </c>
      <c r="AP11" s="47" t="n">
        <f aca="false">AO11*$AP$6</f>
        <v>1833.42713665905</v>
      </c>
      <c r="AQ11" s="47" t="n">
        <f aca="false">AO11+AP11</f>
        <v>2528.86501608145</v>
      </c>
      <c r="AR11" s="69"/>
      <c r="AS11" s="72" t="s">
        <v>88</v>
      </c>
      <c r="AT11" s="47" t="n">
        <f aca="false">AT10*12</f>
        <v>276607.728913834</v>
      </c>
      <c r="AU11" s="47"/>
      <c r="AV11" s="71"/>
      <c r="AW11" s="71"/>
    </row>
    <row r="12" s="2" customFormat="true" ht="15" hidden="false" customHeight="true" outlineLevel="0" collapsed="false">
      <c r="B12" s="63" t="s">
        <v>89</v>
      </c>
      <c r="C12" s="64" t="n">
        <f aca="false">VLOOKUP($B12,Unidades!$D$5:$N$27,6,FALSE())</f>
        <v>2817.56</v>
      </c>
      <c r="D12" s="64" t="n">
        <f aca="false">VLOOKUP($B12,Unidades!$D$5:$N$27,7,FALSE())</f>
        <v>0</v>
      </c>
      <c r="E12" s="64" t="n">
        <f aca="false">VLOOKUP($B12,Unidades!$D$5:$N$27,8,FALSE())</f>
        <v>731.05</v>
      </c>
      <c r="F12" s="64" t="n">
        <f aca="false">VLOOKUP($B12,Unidades!$D$5:$N$27,9,FALSE())</f>
        <v>2086.51</v>
      </c>
      <c r="G12" s="64" t="n">
        <f aca="false">D12+E12*$E$6+F12*$F$6</f>
        <v>464.5185</v>
      </c>
      <c r="H12" s="65" t="n">
        <f aca="false">IF(G12&lt;750,1.5,IF(G12&lt;2000,2,IF(G12&lt;4000,3,12)))</f>
        <v>1.5</v>
      </c>
      <c r="I12" s="65" t="n">
        <f aca="false">$I$6*H12</f>
        <v>1.8</v>
      </c>
      <c r="J12" s="65" t="str">
        <f aca="false">VLOOKUP($B12,Unidades!$D$5:$N$27,10,FALSE())</f>
        <v>NÃO</v>
      </c>
      <c r="K12" s="65" t="str">
        <f aca="false">VLOOKUP($B12,Unidades!$D$5:$N$27,11,FALSE())</f>
        <v>NÃO</v>
      </c>
      <c r="L12" s="65" t="n">
        <f aca="false">$L$6*H12+(IF(J12="SIM",$J$6,0))</f>
        <v>1.65</v>
      </c>
      <c r="M12" s="65" t="n">
        <f aca="false">$M$6*H12+(IF(J12="SIM",$J$6,0))+(IF(K12="SIM",$K$6,0))</f>
        <v>1.65</v>
      </c>
      <c r="N12" s="65" t="n">
        <f aca="false">H12*12+I12*4+L12*2+M12</f>
        <v>30.15</v>
      </c>
      <c r="O12" s="66" t="n">
        <f aca="false">IF(K12="não", N12*(C$24+D$24),N12*(C$24+D$24)+(M12*+E$24))</f>
        <v>1604.3023638</v>
      </c>
      <c r="P12" s="67"/>
      <c r="Q12" s="23" t="str">
        <f aca="false">B12</f>
        <v>DEPÓSITO ESTEIO</v>
      </c>
      <c r="R12" s="25" t="n">
        <f aca="false">H12*($C$24+$D$24)</f>
        <v>79.816038</v>
      </c>
      <c r="S12" s="25" t="n">
        <f aca="false">I12*($C$24+$D$24)</f>
        <v>95.7792456</v>
      </c>
      <c r="T12" s="25" t="n">
        <f aca="false">L12*($C$24+$D$24)</f>
        <v>87.7976418</v>
      </c>
      <c r="U12" s="25" t="n">
        <f aca="false">IF(K12="não",M12*($C$24+$D$24),M12*(C$24+D$24+E$24))</f>
        <v>87.7976418</v>
      </c>
      <c r="V12" s="25" t="n">
        <f aca="false">VLOOKUP(Q12,'Desl. Base Porto Alegre'!$C$5:$S$18,13,FALSE())*($C$24+$D$24+$E$24*(VLOOKUP(Q12,'Desl. Base Porto Alegre'!$C$5:$S$18,17,FALSE())/12))</f>
        <v>29.0495103111111</v>
      </c>
      <c r="W12" s="25" t="n">
        <f aca="false">VLOOKUP(Q12,'Desl. Base Porto Alegre'!$C$5:$S$18,15,FALSE())*(2+(VLOOKUP(Q12,'Desl. Base Porto Alegre'!$C$5:$S$18,17,FALSE())/12))</f>
        <v>0</v>
      </c>
      <c r="X12" s="25" t="n">
        <f aca="false">VLOOKUP(Q12,'Desl. Base Porto Alegre'!$C$5:$Q$18,14,FALSE())</f>
        <v>0</v>
      </c>
      <c r="Y12" s="25" t="n">
        <f aca="false">VLOOKUP(Q12,'Desl. Base Porto Alegre'!$C$5:$Q$18,13,FALSE())*'Desl. Base Porto Alegre'!$E$23+'Desl. Base Porto Alegre'!$E$24*N12/12</f>
        <v>43.6018333333333</v>
      </c>
      <c r="Z12" s="25" t="n">
        <f aca="false">(H12/$AC$5)*'Equipe Técnica'!$C$13</f>
        <v>220.997863127511</v>
      </c>
      <c r="AA12" s="25" t="n">
        <f aca="false">(I12/$AC$5)*'Equipe Técnica'!$C$13</f>
        <v>265.197435753013</v>
      </c>
      <c r="AB12" s="25" t="n">
        <f aca="false">(L12/$AC$5)*'Equipe Técnica'!$C$13</f>
        <v>243.097649440262</v>
      </c>
      <c r="AC12" s="25" t="n">
        <f aca="false">(M12/$AC$5)*'Equipe Técnica'!$C$13</f>
        <v>243.097649440262</v>
      </c>
      <c r="AD12" s="25" t="n">
        <f aca="false">R12+(($V12+$W12+$X12+$Y12)*12/19)+$Z12</f>
        <v>346.69896027137</v>
      </c>
      <c r="AE12" s="25" t="n">
        <f aca="false">S12+(($V12+$W12+$X12+$Y12)*12/19)+$AA12</f>
        <v>406.861740496873</v>
      </c>
      <c r="AF12" s="25" t="n">
        <f aca="false">T12+(($V12+$W12+$X12+$Y12)*12/19)+$AB12</f>
        <v>376.780350384122</v>
      </c>
      <c r="AG12" s="25" t="n">
        <f aca="false">U12+(($V12+$W12+$X12+$Y12)*12/19)+$AC12</f>
        <v>376.780350384122</v>
      </c>
      <c r="AI12" s="23" t="str">
        <f aca="false">B12</f>
        <v>DEPÓSITO ESTEIO</v>
      </c>
      <c r="AJ12" s="68" t="n">
        <f aca="false">VLOOKUP(AI12,Unidades!D$5:H$27,5,)</f>
        <v>0.2223</v>
      </c>
      <c r="AK12" s="47" t="n">
        <f aca="false">AD12*(1+$AJ12)</f>
        <v>423.770139139696</v>
      </c>
      <c r="AL12" s="47" t="n">
        <f aca="false">AE12*(1+$AJ12)</f>
        <v>497.307105409327</v>
      </c>
      <c r="AM12" s="47" t="n">
        <f aca="false">AF12*(1+$AJ12)</f>
        <v>460.538622274512</v>
      </c>
      <c r="AN12" s="47" t="n">
        <f aca="false">AG12*(1+$AJ12)</f>
        <v>460.538622274512</v>
      </c>
      <c r="AO12" s="47" t="n">
        <f aca="false">((AK12*12)+(AL12*4)+(AM12*2)+AN12)/12</f>
        <v>704.673829844766</v>
      </c>
      <c r="AP12" s="47" t="n">
        <f aca="false">AO12*$AP$6</f>
        <v>1857.77646049984</v>
      </c>
      <c r="AQ12" s="47" t="n">
        <f aca="false">AO12+AP12</f>
        <v>2562.4502903446</v>
      </c>
      <c r="AR12" s="69"/>
      <c r="AS12" s="72" t="s">
        <v>73</v>
      </c>
      <c r="AT12" s="47" t="n">
        <f aca="false">AP21</f>
        <v>60769.8798371301</v>
      </c>
      <c r="AU12" s="47"/>
      <c r="AV12" s="69"/>
      <c r="AW12" s="69"/>
    </row>
    <row r="13" s="2" customFormat="true" ht="15" hidden="false" customHeight="true" outlineLevel="0" collapsed="false">
      <c r="B13" s="63" t="s">
        <v>90</v>
      </c>
      <c r="C13" s="64" t="n">
        <f aca="false">VLOOKUP($B13,Unidades!$D$5:$N$27,6,FALSE())</f>
        <v>3136.2</v>
      </c>
      <c r="D13" s="64" t="n">
        <f aca="false">VLOOKUP($B13,Unidades!$D$5:$N$27,7,FALSE())</f>
        <v>2619.3</v>
      </c>
      <c r="E13" s="64" t="n">
        <f aca="false">VLOOKUP($B13,Unidades!$D$5:$N$27,8,FALSE())</f>
        <v>376.78</v>
      </c>
      <c r="F13" s="64" t="n">
        <f aca="false">VLOOKUP($B13,Unidades!$D$5:$N$27,9,FALSE())</f>
        <v>140.12</v>
      </c>
      <c r="G13" s="64" t="n">
        <f aca="false">D13+E13*$E$6+F13*$F$6</f>
        <v>2765.185</v>
      </c>
      <c r="H13" s="65" t="n">
        <f aca="false">IF(G13&lt;750,1.5,IF(G13&lt;2000,2,IF(G13&lt;4000,3,12)))</f>
        <v>3</v>
      </c>
      <c r="I13" s="65" t="n">
        <f aca="false">$I$6*H13</f>
        <v>3.6</v>
      </c>
      <c r="J13" s="65" t="str">
        <f aca="false">VLOOKUP($B13,Unidades!$D$5:$N$27,10,FALSE())</f>
        <v>SIM</v>
      </c>
      <c r="K13" s="65" t="str">
        <f aca="false">VLOOKUP($B13,Unidades!$D$5:$N$27,11,FALSE())</f>
        <v>SIM</v>
      </c>
      <c r="L13" s="65" t="n">
        <f aca="false">$L$6*H13+(IF(J13="SIM",$J$6,0))</f>
        <v>5.3</v>
      </c>
      <c r="M13" s="65" t="n">
        <f aca="false">$M$6*H13+(IF(J13="SIM",$J$6,0))+(IF(K13="SIM",$K$6,0))</f>
        <v>9.3</v>
      </c>
      <c r="N13" s="65" t="n">
        <f aca="false">H13*12+I13*4+L13*2+M13</f>
        <v>70.3</v>
      </c>
      <c r="O13" s="66" t="n">
        <f aca="false">IF(K13="não", N13*(C$24+D$24),N13*(C$24+D$24)+(M13*+E$24))</f>
        <v>4077.0926476</v>
      </c>
      <c r="P13" s="67"/>
      <c r="Q13" s="23" t="str">
        <f aca="false">B13</f>
        <v>GEX/APS CANOAS</v>
      </c>
      <c r="R13" s="25" t="n">
        <f aca="false">H13*($C$24+$D$24)</f>
        <v>159.632076</v>
      </c>
      <c r="S13" s="25" t="n">
        <f aca="false">I13*($C$24+$D$24)</f>
        <v>191.5584912</v>
      </c>
      <c r="T13" s="25" t="n">
        <f aca="false">L13*($C$24+$D$24)</f>
        <v>282.0166676</v>
      </c>
      <c r="U13" s="25" t="n">
        <f aca="false">IF(K13="não",M13*($C$24+$D$24),M13*(C$24+D$24+E$24))</f>
        <v>831.2404356</v>
      </c>
      <c r="V13" s="25" t="n">
        <f aca="false">VLOOKUP(Q13,'Desl. Base Porto Alegre'!$C$5:$S$18,13,FALSE())*($C$24+$D$24+$E$24*(VLOOKUP(Q13,'Desl. Base Porto Alegre'!$C$5:$S$18,17,FALSE())/12))</f>
        <v>22.0214029777778</v>
      </c>
      <c r="W13" s="25" t="n">
        <f aca="false">VLOOKUP(Q13,'Desl. Base Porto Alegre'!$C$5:$S$18,15,FALSE())*(2+(VLOOKUP(Q13,'Desl. Base Porto Alegre'!$C$5:$S$18,17,FALSE())/12))</f>
        <v>0</v>
      </c>
      <c r="X13" s="25" t="n">
        <f aca="false">VLOOKUP(Q13,'Desl. Base Porto Alegre'!$C$5:$Q$18,14,FALSE())</f>
        <v>0</v>
      </c>
      <c r="Y13" s="25" t="n">
        <f aca="false">VLOOKUP(Q13,'Desl. Base Porto Alegre'!$C$5:$Q$18,13,FALSE())*'Desl. Base Porto Alegre'!$E$23+'Desl. Base Porto Alegre'!$E$24*N13/12</f>
        <v>58.98925</v>
      </c>
      <c r="Z13" s="25" t="n">
        <f aca="false">(H13/$AC$5)*'Equipe Técnica'!$C$13</f>
        <v>441.995726255022</v>
      </c>
      <c r="AA13" s="25" t="n">
        <f aca="false">(I13/$AC$5)*'Equipe Técnica'!$C$13</f>
        <v>530.394871506026</v>
      </c>
      <c r="AB13" s="25" t="n">
        <f aca="false">(L13/$AC$5)*'Equipe Técnica'!$C$13</f>
        <v>780.859116383871</v>
      </c>
      <c r="AC13" s="25" t="n">
        <f aca="false">(M13/$AC$5)*'Equipe Técnica'!$C$13</f>
        <v>1370.18675139057</v>
      </c>
      <c r="AD13" s="25" t="n">
        <f aca="false">R13+(($V13+$W13+$X13+$Y13)*12/19)+$Z13</f>
        <v>652.792425188355</v>
      </c>
      <c r="AE13" s="25" t="n">
        <f aca="false">S13+(($V13+$W13+$X13+$Y13)*12/19)+$AA13</f>
        <v>773.117985639359</v>
      </c>
      <c r="AF13" s="25" t="n">
        <f aca="false">T13+(($V13+$W13+$X13+$Y13)*12/19)+$AB13</f>
        <v>1114.0404069172</v>
      </c>
      <c r="AG13" s="25" t="n">
        <f aca="false">U13+(($V13+$W13+$X13+$Y13)*12/19)+$AC13</f>
        <v>2252.5918099239</v>
      </c>
      <c r="AI13" s="23" t="str">
        <f aca="false">B13</f>
        <v>GEX/APS CANOAS</v>
      </c>
      <c r="AJ13" s="68" t="n">
        <f aca="false">VLOOKUP(AI13,Unidades!D$5:H$27,5,)</f>
        <v>0.2354</v>
      </c>
      <c r="AK13" s="47" t="n">
        <f aca="false">AD13*(1+$AJ13)</f>
        <v>806.459762077694</v>
      </c>
      <c r="AL13" s="47" t="n">
        <f aca="false">AE13*(1+$AJ13)</f>
        <v>955.109959458864</v>
      </c>
      <c r="AM13" s="47" t="n">
        <f aca="false">AF13*(1+$AJ13)</f>
        <v>1376.28551870552</v>
      </c>
      <c r="AN13" s="47" t="n">
        <f aca="false">AG13*(1+$AJ13)</f>
        <v>2782.85192197999</v>
      </c>
      <c r="AO13" s="47" t="n">
        <f aca="false">((AK13*12)+(AL13*4)+(AM13*2)+AN13)/12</f>
        <v>1586.1149951799</v>
      </c>
      <c r="AP13" s="47" t="n">
        <f aca="false">AO13*$AP$6</f>
        <v>4181.57589638337</v>
      </c>
      <c r="AQ13" s="47" t="n">
        <f aca="false">AO13+AP13</f>
        <v>5767.69089156327</v>
      </c>
      <c r="AR13" s="69"/>
      <c r="AS13" s="72" t="s">
        <v>91</v>
      </c>
      <c r="AT13" s="47" t="n">
        <f aca="false">AT12*12</f>
        <v>729238.558045561</v>
      </c>
      <c r="AU13" s="47"/>
      <c r="AV13" s="71"/>
      <c r="AW13" s="71"/>
    </row>
    <row r="14" s="2" customFormat="true" ht="15" hidden="false" customHeight="true" outlineLevel="0" collapsed="false">
      <c r="B14" s="63" t="s">
        <v>92</v>
      </c>
      <c r="C14" s="64" t="n">
        <f aca="false">VLOOKUP($B14,Unidades!$D$5:$N$27,6,FALSE())</f>
        <v>394</v>
      </c>
      <c r="D14" s="64" t="n">
        <f aca="false">VLOOKUP($B14,Unidades!$D$5:$N$27,7,FALSE())</f>
        <v>374</v>
      </c>
      <c r="E14" s="64" t="n">
        <f aca="false">VLOOKUP($B14,Unidades!$D$5:$N$27,8,FALSE())</f>
        <v>20</v>
      </c>
      <c r="F14" s="64" t="n">
        <f aca="false">VLOOKUP($B14,Unidades!$D$5:$N$27,9,FALSE())</f>
        <v>0</v>
      </c>
      <c r="G14" s="64" t="n">
        <f aca="false">D14+E14*$E$6+F14*$F$6</f>
        <v>381</v>
      </c>
      <c r="H14" s="65" t="n">
        <f aca="false">IF(G14&lt;750,1.5,IF(G14&lt;2000,2,IF(G14&lt;4000,3,12)))</f>
        <v>1.5</v>
      </c>
      <c r="I14" s="65" t="n">
        <f aca="false">$I$6*H14</f>
        <v>1.8</v>
      </c>
      <c r="J14" s="65" t="str">
        <f aca="false">VLOOKUP($B14,Unidades!$D$5:$N$27,10,FALSE())</f>
        <v>NÃO</v>
      </c>
      <c r="K14" s="65" t="str">
        <f aca="false">VLOOKUP($B14,Unidades!$D$5:$N$27,11,FALSE())</f>
        <v>NÃO</v>
      </c>
      <c r="L14" s="65" t="n">
        <f aca="false">$L$6*H14+(IF(J14="SIM",$J$6,0))</f>
        <v>1.65</v>
      </c>
      <c r="M14" s="65" t="n">
        <f aca="false">$M$6*H14+(IF(J14="SIM",$J$6,0))+(IF(K14="SIM",$K$6,0))</f>
        <v>1.65</v>
      </c>
      <c r="N14" s="65" t="n">
        <f aca="false">H14*12+I14*4+L14*2+M14</f>
        <v>30.15</v>
      </c>
      <c r="O14" s="66" t="n">
        <f aca="false">IF(K14="não", N14*(C$24+D$24),N14*(C$24+D$24)+(M14*+E$24))</f>
        <v>1604.3023638</v>
      </c>
      <c r="P14" s="67"/>
      <c r="Q14" s="23" t="str">
        <f aca="false">B14</f>
        <v>APS ALVORADA</v>
      </c>
      <c r="R14" s="25" t="n">
        <f aca="false">H14*($C$24+$D$24)</f>
        <v>79.816038</v>
      </c>
      <c r="S14" s="25" t="n">
        <f aca="false">I14*($C$24+$D$24)</f>
        <v>95.7792456</v>
      </c>
      <c r="T14" s="25" t="n">
        <f aca="false">L14*($C$24+$D$24)</f>
        <v>87.7976418</v>
      </c>
      <c r="U14" s="25" t="n">
        <f aca="false">IF(K14="não",M14*($C$24+$D$24),M14*(C$24+D$24+E$24))</f>
        <v>87.7976418</v>
      </c>
      <c r="V14" s="25" t="n">
        <f aca="false">VLOOKUP(Q14,'Desl. Base Porto Alegre'!$C$5:$S$18,13,FALSE())*($C$24+$D$24+$E$24*(VLOOKUP(Q14,'Desl. Base Porto Alegre'!$C$5:$S$18,17,FALSE())/12))</f>
        <v>52.4765347555556</v>
      </c>
      <c r="W14" s="25" t="n">
        <f aca="false">VLOOKUP(Q14,'Desl. Base Porto Alegre'!$C$5:$S$18,15,FALSE())*(2+(VLOOKUP(Q14,'Desl. Base Porto Alegre'!$C$5:$S$18,17,FALSE())/12))</f>
        <v>0</v>
      </c>
      <c r="X14" s="25" t="n">
        <f aca="false">VLOOKUP(Q14,'Desl. Base Porto Alegre'!$C$5:$Q$18,14,FALSE())</f>
        <v>0</v>
      </c>
      <c r="Y14" s="25" t="n">
        <f aca="false">VLOOKUP(Q14,'Desl. Base Porto Alegre'!$C$5:$Q$18,13,FALSE())*'Desl. Base Porto Alegre'!$E$23+'Desl. Base Porto Alegre'!$E$24*N14/12</f>
        <v>65.4726666666667</v>
      </c>
      <c r="Z14" s="25" t="n">
        <f aca="false">(H14/$AC$5)*'Equipe Técnica'!$C$13</f>
        <v>220.997863127511</v>
      </c>
      <c r="AA14" s="25" t="n">
        <f aca="false">(I14/$AC$5)*'Equipe Técnica'!$C$13</f>
        <v>265.197435753013</v>
      </c>
      <c r="AB14" s="25" t="n">
        <f aca="false">(L14/$AC$5)*'Equipe Técnica'!$C$13</f>
        <v>243.097649440262</v>
      </c>
      <c r="AC14" s="25" t="n">
        <f aca="false">(M14/$AC$5)*'Equipe Técnica'!$C$13</f>
        <v>243.097649440262</v>
      </c>
      <c r="AD14" s="25" t="n">
        <f aca="false">R14+(($V14+$W14+$X14+$Y14)*12/19)+$Z14</f>
        <v>375.308133604704</v>
      </c>
      <c r="AE14" s="25" t="n">
        <f aca="false">S14+(($V14+$W14+$X14+$Y14)*12/19)+$AA14</f>
        <v>435.470913830206</v>
      </c>
      <c r="AF14" s="25" t="n">
        <f aca="false">T14+(($V14+$W14+$X14+$Y14)*12/19)+$AB14</f>
        <v>405.389523717455</v>
      </c>
      <c r="AG14" s="25" t="n">
        <f aca="false">U14+(($V14+$W14+$X14+$Y14)*12/19)+$AC14</f>
        <v>405.389523717455</v>
      </c>
      <c r="AI14" s="23" t="str">
        <f aca="false">B14</f>
        <v>APS ALVORADA</v>
      </c>
      <c r="AJ14" s="68" t="n">
        <f aca="false">VLOOKUP(AI14,Unidades!D$5:H$27,5,)</f>
        <v>0.2354</v>
      </c>
      <c r="AK14" s="47" t="n">
        <f aca="false">AD14*(1+$AJ14)</f>
        <v>463.655668255251</v>
      </c>
      <c r="AL14" s="47" t="n">
        <f aca="false">AE14*(1+$AJ14)</f>
        <v>537.980766945836</v>
      </c>
      <c r="AM14" s="47" t="n">
        <f aca="false">AF14*(1+$AJ14)</f>
        <v>500.818217600544</v>
      </c>
      <c r="AN14" s="47" t="n">
        <f aca="false">AG14*(1+$AJ14)</f>
        <v>500.818217600544</v>
      </c>
      <c r="AO14" s="47" t="n">
        <f aca="false">((AK14*12)+(AL14*4)+(AM14*2)+AN14)/12</f>
        <v>768.187144970666</v>
      </c>
      <c r="AP14" s="47" t="n">
        <f aca="false">AO14*$AP$6</f>
        <v>2025.22065492266</v>
      </c>
      <c r="AQ14" s="47" t="n">
        <f aca="false">AO14+AP14</f>
        <v>2793.40779989333</v>
      </c>
      <c r="AR14" s="69"/>
      <c r="AS14" s="72" t="s">
        <v>74</v>
      </c>
      <c r="AT14" s="47" t="n">
        <f aca="false">AT10+AT12</f>
        <v>83820.5239132829</v>
      </c>
      <c r="AU14" s="47"/>
      <c r="AV14" s="71"/>
      <c r="AW14" s="71"/>
    </row>
    <row r="15" s="2" customFormat="true" ht="15" hidden="false" customHeight="true" outlineLevel="0" collapsed="false">
      <c r="B15" s="63" t="s">
        <v>93</v>
      </c>
      <c r="C15" s="64" t="n">
        <f aca="false">VLOOKUP($B15,Unidades!$D$5:$N$27,6,FALSE())</f>
        <v>10465.16</v>
      </c>
      <c r="D15" s="64" t="n">
        <f aca="false">VLOOKUP($B15,Unidades!$D$5:$N$27,7,FALSE())</f>
        <v>396.9</v>
      </c>
      <c r="E15" s="64" t="n">
        <f aca="false">VLOOKUP($B15,Unidades!$D$5:$N$27,8,FALSE())</f>
        <v>132.9</v>
      </c>
      <c r="F15" s="64" t="n">
        <f aca="false">VLOOKUP($B15,Unidades!$D$5:$N$27,9,FALSE())</f>
        <v>9935.36</v>
      </c>
      <c r="G15" s="64" t="n">
        <f aca="false">D15+E15*$E$6+F15*$F$6</f>
        <v>1436.951</v>
      </c>
      <c r="H15" s="65" t="n">
        <f aca="false">IF(G15&lt;750,1.5,IF(G15&lt;2000,2,IF(G15&lt;4000,3,12)))</f>
        <v>2</v>
      </c>
      <c r="I15" s="65" t="n">
        <f aca="false">$I$6*H15</f>
        <v>2.4</v>
      </c>
      <c r="J15" s="65" t="str">
        <f aca="false">VLOOKUP($B15,Unidades!$D$5:$N$27,10,FALSE())</f>
        <v>SIM</v>
      </c>
      <c r="K15" s="65" t="str">
        <f aca="false">VLOOKUP($B15,Unidades!$D$5:$N$27,11,FALSE())</f>
        <v>SIM</v>
      </c>
      <c r="L15" s="65" t="n">
        <f aca="false">$L$6*H15+(IF(J15="SIM",$J$6,0))</f>
        <v>4.2</v>
      </c>
      <c r="M15" s="65" t="n">
        <f aca="false">$M$6*H15+(IF(J15="SIM",$J$6,0))+(IF(K15="SIM",$K$6,0))</f>
        <v>8.2</v>
      </c>
      <c r="N15" s="65" t="n">
        <f aca="false">H15*12+I15*4+L15*2+M15</f>
        <v>50.2</v>
      </c>
      <c r="O15" s="66" t="n">
        <f aca="false">IF(K15="não", N15*(C$24+D$24),N15*(C$24+D$24)+(M15*+E$24))</f>
        <v>2967.7707384</v>
      </c>
      <c r="P15" s="67"/>
      <c r="Q15" s="23" t="str">
        <f aca="false">B15</f>
        <v>APS PORTO ALEGRE- CENTRO</v>
      </c>
      <c r="R15" s="25" t="n">
        <f aca="false">H15*($C$24+$D$24)</f>
        <v>106.421384</v>
      </c>
      <c r="S15" s="25" t="n">
        <f aca="false">I15*($C$24+$D$24)</f>
        <v>127.7056608</v>
      </c>
      <c r="T15" s="25" t="n">
        <f aca="false">L15*($C$24+$D$24)</f>
        <v>223.4849064</v>
      </c>
      <c r="U15" s="25" t="n">
        <f aca="false">IF(K15="não",M15*($C$24+$D$24),M15*(C$24+D$24+E$24))</f>
        <v>732.9216744</v>
      </c>
      <c r="V15" s="25" t="n">
        <f aca="false">VLOOKUP(Q15,'Desl. Base Porto Alegre'!$C$5:$S$18,13,FALSE())*($C$24+$D$24+$E$24*(VLOOKUP(Q15,'Desl. Base Porto Alegre'!$C$5:$S$18,17,FALSE())/12))</f>
        <v>10.3078907555556</v>
      </c>
      <c r="W15" s="25" t="n">
        <f aca="false">VLOOKUP(Q15,'Desl. Base Porto Alegre'!$C$5:$S$18,15,FALSE())*(2+(VLOOKUP(Q15,'Desl. Base Porto Alegre'!$C$5:$S$18,17,FALSE())/12))</f>
        <v>0</v>
      </c>
      <c r="X15" s="25" t="n">
        <f aca="false">VLOOKUP(Q15,'Desl. Base Porto Alegre'!$C$5:$Q$18,14,FALSE())</f>
        <v>0</v>
      </c>
      <c r="Y15" s="25" t="n">
        <f aca="false">VLOOKUP(Q15,'Desl. Base Porto Alegre'!$C$5:$Q$18,13,FALSE())*'Desl. Base Porto Alegre'!$E$23+'Desl. Base Porto Alegre'!$E$24*N15/12</f>
        <v>37.0658333333333</v>
      </c>
      <c r="Z15" s="25" t="n">
        <f aca="false">(H15/$AC$5)*'Equipe Técnica'!$C$13</f>
        <v>294.663817503348</v>
      </c>
      <c r="AA15" s="25" t="n">
        <f aca="false">(I15/$AC$5)*'Equipe Técnica'!$C$13</f>
        <v>353.596581004017</v>
      </c>
      <c r="AB15" s="25" t="n">
        <f aca="false">(L15/$AC$5)*'Equipe Técnica'!$C$13</f>
        <v>618.79401675703</v>
      </c>
      <c r="AC15" s="25" t="n">
        <f aca="false">(M15/$AC$5)*'Equipe Técnica'!$C$13</f>
        <v>1208.12165176373</v>
      </c>
      <c r="AD15" s="25" t="n">
        <f aca="false">R15+(($V15+$W15+$X15+$Y15)*12/19)+$Z15</f>
        <v>431.00544829633</v>
      </c>
      <c r="AE15" s="25" t="n">
        <f aca="false">S15+(($V15+$W15+$X15+$Y15)*12/19)+$AA15</f>
        <v>511.222488597</v>
      </c>
      <c r="AF15" s="25" t="n">
        <f aca="false">T15+(($V15+$W15+$X15+$Y15)*12/19)+$AB15</f>
        <v>872.199169950013</v>
      </c>
      <c r="AG15" s="25" t="n">
        <f aca="false">U15+(($V15+$W15+$X15+$Y15)*12/19)+$AC15</f>
        <v>1970.96357295671</v>
      </c>
      <c r="AI15" s="23" t="str">
        <f aca="false">B15</f>
        <v>APS PORTO ALEGRE- CENTRO</v>
      </c>
      <c r="AJ15" s="68" t="n">
        <f aca="false">VLOOKUP(AI15,Unidades!D$5:H$27,5,)</f>
        <v>0.2487</v>
      </c>
      <c r="AK15" s="47" t="n">
        <f aca="false">AD15*(1+$AJ15)</f>
        <v>538.196503287627</v>
      </c>
      <c r="AL15" s="47" t="n">
        <f aca="false">AE15*(1+$AJ15)</f>
        <v>638.363521511073</v>
      </c>
      <c r="AM15" s="47" t="n">
        <f aca="false">AF15*(1+$AJ15)</f>
        <v>1089.11510351658</v>
      </c>
      <c r="AN15" s="47" t="n">
        <f aca="false">AG15*(1+$AJ15)</f>
        <v>2461.14221355104</v>
      </c>
      <c r="AO15" s="47" t="n">
        <f aca="false">((AK15*12)+(AL15*4)+(AM15*2)+AN15)/12</f>
        <v>1137.59871217334</v>
      </c>
      <c r="AP15" s="47" t="n">
        <f aca="false">AO15*$AP$6</f>
        <v>2999.12387754788</v>
      </c>
      <c r="AQ15" s="47" t="n">
        <f aca="false">AO15+AP15</f>
        <v>4136.72258972122</v>
      </c>
      <c r="AR15" s="69"/>
      <c r="AS15" s="72" t="s">
        <v>94</v>
      </c>
      <c r="AT15" s="47" t="n">
        <f aca="false">AT11+AT13</f>
        <v>1005846.2869594</v>
      </c>
      <c r="AU15" s="47"/>
      <c r="AV15" s="69"/>
      <c r="AW15" s="69"/>
    </row>
    <row r="16" s="2" customFormat="true" ht="15" hidden="false" customHeight="true" outlineLevel="0" collapsed="false">
      <c r="B16" s="63" t="s">
        <v>95</v>
      </c>
      <c r="C16" s="64" t="n">
        <f aca="false">VLOOKUP($B16,Unidades!$D$5:$N$27,6,FALSE())</f>
        <v>10773</v>
      </c>
      <c r="D16" s="64" t="n">
        <f aca="false">VLOOKUP($B16,Unidades!$D$5:$N$27,7,FALSE())</f>
        <v>3538</v>
      </c>
      <c r="E16" s="64" t="n">
        <f aca="false">VLOOKUP($B16,Unidades!$D$5:$N$27,8,FALSE())</f>
        <v>2625.3</v>
      </c>
      <c r="F16" s="64" t="n">
        <f aca="false">VLOOKUP($B16,Unidades!$D$5:$N$27,9,FALSE())</f>
        <v>4609.7</v>
      </c>
      <c r="G16" s="64" t="n">
        <f aca="false">D16+E16*$E$6+F16*$F$6</f>
        <v>4917.825</v>
      </c>
      <c r="H16" s="65" t="n">
        <f aca="false">IF(G16&lt;750,1.5,IF(G16&lt;2000,2,IF(G16&lt;4000,3,12)))</f>
        <v>12</v>
      </c>
      <c r="I16" s="65" t="n">
        <f aca="false">$I$6*H16</f>
        <v>14.4</v>
      </c>
      <c r="J16" s="65" t="str">
        <f aca="false">VLOOKUP($B16,Unidades!$D$5:$N$27,10,FALSE())</f>
        <v>SIM</v>
      </c>
      <c r="K16" s="65" t="str">
        <f aca="false">VLOOKUP($B16,Unidades!$D$5:$N$27,11,FALSE())</f>
        <v>SIM</v>
      </c>
      <c r="L16" s="65" t="n">
        <f aca="false">$L$6*H16+(IF(J16="SIM",$J$6,0))</f>
        <v>15.2</v>
      </c>
      <c r="M16" s="65" t="n">
        <f aca="false">$M$6*H16+(IF(J16="SIM",$J$6,0))+(IF(K16="SIM",$K$6,0))</f>
        <v>19.2</v>
      </c>
      <c r="N16" s="65" t="n">
        <f aca="false">H16*12+I16*4+L16*2+M16</f>
        <v>251.2</v>
      </c>
      <c r="O16" s="66" t="n">
        <f aca="false">IF(K16="não", N16*(C$24+D$24),N16*(C$24+D$24)+(M16*+E$24))</f>
        <v>14060.9898304</v>
      </c>
      <c r="P16" s="67"/>
      <c r="Q16" s="23" t="str">
        <f aca="false">B16</f>
        <v>APS PORTO ALEGRE-PARTENON</v>
      </c>
      <c r="R16" s="25" t="n">
        <f aca="false">H16*($C$24+$D$24)</f>
        <v>638.528304</v>
      </c>
      <c r="S16" s="25" t="n">
        <f aca="false">I16*($C$24+$D$24)</f>
        <v>766.2339648</v>
      </c>
      <c r="T16" s="25" t="n">
        <f aca="false">L16*($C$24+$D$24)</f>
        <v>808.8025184</v>
      </c>
      <c r="U16" s="25" t="n">
        <f aca="false">IF(K16="não",M16*($C$24+$D$24),M16*(C$24+D$24+E$24))</f>
        <v>1716.1092864</v>
      </c>
      <c r="V16" s="25" t="n">
        <f aca="false">VLOOKUP(Q16,'Desl. Base Porto Alegre'!$C$5:$S$18,13,FALSE())*($C$24+$D$24+$E$24*(VLOOKUP(Q16,'Desl. Base Porto Alegre'!$C$5:$S$18,17,FALSE())/12))</f>
        <v>10.3078907555556</v>
      </c>
      <c r="W16" s="25" t="n">
        <f aca="false">VLOOKUP(Q16,'Desl. Base Porto Alegre'!$C$5:$S$18,15,FALSE())*(2+(VLOOKUP(Q16,'Desl. Base Porto Alegre'!$C$5:$S$18,17,FALSE())/12))</f>
        <v>0</v>
      </c>
      <c r="X16" s="25" t="n">
        <f aca="false">VLOOKUP(Q16,'Desl. Base Porto Alegre'!$C$5:$Q$18,14,FALSE())</f>
        <v>0</v>
      </c>
      <c r="Y16" s="25" t="n">
        <f aca="false">VLOOKUP(Q16,'Desl. Base Porto Alegre'!$C$5:$Q$18,13,FALSE())*'Desl. Base Porto Alegre'!$E$23+'Desl. Base Porto Alegre'!$E$24*N16/12</f>
        <v>146.945833333333</v>
      </c>
      <c r="Z16" s="25" t="n">
        <f aca="false">(H16/$AC$5)*'Equipe Técnica'!$C$13</f>
        <v>1767.98290502009</v>
      </c>
      <c r="AA16" s="25" t="n">
        <f aca="false">(I16/$AC$5)*'Equipe Técnica'!$C$13</f>
        <v>2121.5794860241</v>
      </c>
      <c r="AB16" s="25" t="n">
        <f aca="false">(L16/$AC$5)*'Equipe Técnica'!$C$13</f>
        <v>2239.44501302544</v>
      </c>
      <c r="AC16" s="25" t="n">
        <f aca="false">(M16/$AC$5)*'Equipe Técnica'!$C$13</f>
        <v>2828.77264803214</v>
      </c>
      <c r="AD16" s="25" t="n">
        <f aca="false">R16+(($V16+$W16+$X16+$Y16)*12/19)+$Z16</f>
        <v>2505.82935054991</v>
      </c>
      <c r="AE16" s="25" t="n">
        <f aca="false">S16+(($V16+$W16+$X16+$Y16)*12/19)+$AA16</f>
        <v>2987.13159235393</v>
      </c>
      <c r="AF16" s="25" t="n">
        <f aca="false">T16+(($V16+$W16+$X16+$Y16)*12/19)+$AB16</f>
        <v>3147.56567295527</v>
      </c>
      <c r="AG16" s="25" t="n">
        <f aca="false">U16+(($V16+$W16+$X16+$Y16)*12/19)+$AC16</f>
        <v>4644.20007596196</v>
      </c>
      <c r="AI16" s="23" t="str">
        <f aca="false">B16</f>
        <v>APS PORTO ALEGRE-PARTENON</v>
      </c>
      <c r="AJ16" s="68" t="n">
        <f aca="false">VLOOKUP(AI16,Unidades!D$5:H$27,5,)</f>
        <v>0.2487</v>
      </c>
      <c r="AK16" s="47" t="n">
        <f aca="false">AD16*(1+$AJ16)</f>
        <v>3129.02911003167</v>
      </c>
      <c r="AL16" s="47" t="n">
        <f aca="false">AE16*(1+$AJ16)</f>
        <v>3730.03121937235</v>
      </c>
      <c r="AM16" s="47" t="n">
        <f aca="false">AF16*(1+$AJ16)</f>
        <v>3930.36525581924</v>
      </c>
      <c r="AN16" s="47" t="n">
        <f aca="false">AG16*(1+$AJ16)</f>
        <v>5799.2126348537</v>
      </c>
      <c r="AO16" s="47" t="n">
        <f aca="false">((AK16*12)+(AL16*4)+(AM16*2)+AN16)/12</f>
        <v>5510.70144536347</v>
      </c>
      <c r="AP16" s="47" t="n">
        <f aca="false">AO16*$AP$6</f>
        <v>14528.2129014128</v>
      </c>
      <c r="AQ16" s="47" t="n">
        <f aca="false">AO16+AP16</f>
        <v>20038.9143467763</v>
      </c>
      <c r="AR16" s="69"/>
      <c r="AS16" s="69"/>
      <c r="AT16" s="69"/>
      <c r="AU16" s="69"/>
      <c r="AV16" s="69"/>
      <c r="AW16" s="69"/>
    </row>
    <row r="17" s="2" customFormat="true" ht="15" hidden="false" customHeight="true" outlineLevel="0" collapsed="false">
      <c r="B17" s="63" t="s">
        <v>96</v>
      </c>
      <c r="C17" s="64" t="n">
        <f aca="false">VLOOKUP($B17,Unidades!$D$5:$N$27,6,FALSE())</f>
        <v>398</v>
      </c>
      <c r="D17" s="64" t="n">
        <f aca="false">VLOOKUP($B17,Unidades!$D$5:$N$27,7,FALSE())</f>
        <v>350</v>
      </c>
      <c r="E17" s="64" t="n">
        <f aca="false">VLOOKUP($B17,Unidades!$D$5:$N$27,8,FALSE())</f>
        <v>48</v>
      </c>
      <c r="F17" s="64" t="n">
        <f aca="false">VLOOKUP($B17,Unidades!$D$5:$N$27,9,FALSE())</f>
        <v>0</v>
      </c>
      <c r="G17" s="64" t="n">
        <f aca="false">D17+E17*$E$6+F17*$F$6</f>
        <v>366.8</v>
      </c>
      <c r="H17" s="65" t="n">
        <f aca="false">IF(G17&lt;750,1.5,IF(G17&lt;2000,2,IF(G17&lt;4000,3,12)))</f>
        <v>1.5</v>
      </c>
      <c r="I17" s="65" t="n">
        <f aca="false">$I$6*H17</f>
        <v>1.8</v>
      </c>
      <c r="J17" s="65" t="str">
        <f aca="false">VLOOKUP($B17,Unidades!$D$5:$N$27,10,FALSE())</f>
        <v>NÃO</v>
      </c>
      <c r="K17" s="65" t="str">
        <f aca="false">VLOOKUP($B17,Unidades!$D$5:$N$27,11,FALSE())</f>
        <v>SIM</v>
      </c>
      <c r="L17" s="65" t="n">
        <f aca="false">$L$6*H17+(IF(J17="SIM",$J$6,0))</f>
        <v>1.65</v>
      </c>
      <c r="M17" s="65" t="n">
        <f aca="false">$M$6*H17+(IF(J17="SIM",$J$6,0))+(IF(K17="SIM",$K$6,0))</f>
        <v>5.65</v>
      </c>
      <c r="N17" s="65" t="n">
        <f aca="false">H17*12+I17*4+L17*2+M17</f>
        <v>34.15</v>
      </c>
      <c r="O17" s="66" t="n">
        <f aca="false">IF(K17="não", N17*(C$24+D$24),N17*(C$24+D$24)+(M17*+E$24))</f>
        <v>2021.5056318</v>
      </c>
      <c r="P17" s="67"/>
      <c r="Q17" s="23" t="str">
        <f aca="false">B17</f>
        <v>APS PORTO ALEGRE-SUL</v>
      </c>
      <c r="R17" s="25" t="n">
        <f aca="false">H17*($C$24+$D$24)</f>
        <v>79.816038</v>
      </c>
      <c r="S17" s="25" t="n">
        <f aca="false">I17*($C$24+$D$24)</f>
        <v>95.7792456</v>
      </c>
      <c r="T17" s="25" t="n">
        <f aca="false">L17*($C$24+$D$24)</f>
        <v>87.7976418</v>
      </c>
      <c r="U17" s="25" t="n">
        <f aca="false">IF(K17="não",M17*($C$24+$D$24),M17*(C$24+D$24+E$24))</f>
        <v>505.0009098</v>
      </c>
      <c r="V17" s="25" t="n">
        <f aca="false">VLOOKUP(Q17,'Desl. Base Porto Alegre'!$C$5:$S$18,13,FALSE())*($C$24+$D$24+$E$24*(VLOOKUP(Q17,'Desl. Base Porto Alegre'!$C$5:$S$18,17,FALSE())/12))</f>
        <v>29.9865912888889</v>
      </c>
      <c r="W17" s="25" t="n">
        <f aca="false">VLOOKUP(Q17,'Desl. Base Porto Alegre'!$C$5:$S$18,15,FALSE())*(2+(VLOOKUP(Q17,'Desl. Base Porto Alegre'!$C$5:$S$18,17,FALSE())/12))</f>
        <v>0</v>
      </c>
      <c r="X17" s="25" t="n">
        <f aca="false">VLOOKUP(Q17,'Desl. Base Porto Alegre'!$C$5:$Q$18,14,FALSE())</f>
        <v>0</v>
      </c>
      <c r="Y17" s="25" t="n">
        <f aca="false">VLOOKUP(Q17,'Desl. Base Porto Alegre'!$C$5:$Q$18,13,FALSE())*'Desl. Base Porto Alegre'!$E$23+'Desl. Base Porto Alegre'!$E$24*N17/12</f>
        <v>46.6633333333333</v>
      </c>
      <c r="Z17" s="25" t="n">
        <f aca="false">(H17/$AC$5)*'Equipe Técnica'!$C$13</f>
        <v>220.997863127511</v>
      </c>
      <c r="AA17" s="25" t="n">
        <f aca="false">(I17/$AC$5)*'Equipe Técnica'!$C$13</f>
        <v>265.197435753013</v>
      </c>
      <c r="AB17" s="25" t="n">
        <f aca="false">(L17/$AC$5)*'Equipe Técnica'!$C$13</f>
        <v>243.097649440262</v>
      </c>
      <c r="AC17" s="25" t="n">
        <f aca="false">(M17/$AC$5)*'Equipe Técnica'!$C$13</f>
        <v>832.425284446957</v>
      </c>
      <c r="AD17" s="25" t="n">
        <f aca="false">R17+(($V17+$W17+$X17+$Y17)*12/19)+$Z17</f>
        <v>349.224379836283</v>
      </c>
      <c r="AE17" s="25" t="n">
        <f aca="false">S17+(($V17+$W17+$X17+$Y17)*12/19)+$AA17</f>
        <v>409.387160061785</v>
      </c>
      <c r="AF17" s="25" t="n">
        <f aca="false">T17+(($V17+$W17+$X17+$Y17)*12/19)+$AB17</f>
        <v>379.305769949034</v>
      </c>
      <c r="AG17" s="25" t="n">
        <f aca="false">U17+(($V17+$W17+$X17+$Y17)*12/19)+$AC17</f>
        <v>1385.83667295573</v>
      </c>
      <c r="AI17" s="23" t="str">
        <f aca="false">B17</f>
        <v>APS PORTO ALEGRE-SUL</v>
      </c>
      <c r="AJ17" s="68" t="n">
        <f aca="false">VLOOKUP(AI17,Unidades!D$5:H$27,5,)</f>
        <v>0.2487</v>
      </c>
      <c r="AK17" s="47" t="n">
        <f aca="false">AD17*(1+$AJ17)</f>
        <v>436.076483101566</v>
      </c>
      <c r="AL17" s="47" t="n">
        <f aca="false">AE17*(1+$AJ17)</f>
        <v>511.201746769151</v>
      </c>
      <c r="AM17" s="47" t="n">
        <f aca="false">AF17*(1+$AJ17)</f>
        <v>473.639114935358</v>
      </c>
      <c r="AN17" s="47" t="n">
        <f aca="false">AG17*(1+$AJ17)</f>
        <v>1730.49425351982</v>
      </c>
      <c r="AO17" s="47" t="n">
        <f aca="false">((AK17*12)+(AL17*4)+(AM17*2)+AN17)/12</f>
        <v>829.624772307161</v>
      </c>
      <c r="AP17" s="47" t="n">
        <f aca="false">AO17*$AP$6</f>
        <v>2187.19258153706</v>
      </c>
      <c r="AQ17" s="47" t="n">
        <f aca="false">AO17+AP17</f>
        <v>3016.81735384422</v>
      </c>
      <c r="AR17" s="69"/>
      <c r="AS17" s="69"/>
      <c r="AT17" s="69"/>
      <c r="AU17" s="69"/>
      <c r="AV17" s="69"/>
      <c r="AW17" s="69"/>
    </row>
    <row r="18" s="2" customFormat="true" ht="15" hidden="false" customHeight="true" outlineLevel="0" collapsed="false">
      <c r="B18" s="63" t="s">
        <v>97</v>
      </c>
      <c r="C18" s="64" t="n">
        <f aca="false">VLOOKUP($B18,Unidades!$D$5:$N$27,6,FALSE())</f>
        <v>3131</v>
      </c>
      <c r="D18" s="64" t="n">
        <f aca="false">VLOOKUP($B18,Unidades!$D$5:$N$27,7,FALSE())</f>
        <v>138</v>
      </c>
      <c r="E18" s="64" t="n">
        <f aca="false">VLOOKUP($B18,Unidades!$D$5:$N$27,8,FALSE())</f>
        <v>2993</v>
      </c>
      <c r="F18" s="64" t="n">
        <f aca="false">VLOOKUP($B18,Unidades!$D$5:$N$27,9,FALSE())</f>
        <v>0</v>
      </c>
      <c r="G18" s="64" t="n">
        <f aca="false">D18+E18*$E$6+F18*$F$6</f>
        <v>1185.55</v>
      </c>
      <c r="H18" s="65" t="n">
        <f aca="false">IF(G18&lt;750,1.5,IF(G18&lt;2000,2,IF(G18&lt;4000,3,12)))</f>
        <v>2</v>
      </c>
      <c r="I18" s="65" t="n">
        <f aca="false">$I$6*H18</f>
        <v>2.4</v>
      </c>
      <c r="J18" s="65" t="str">
        <f aca="false">VLOOKUP($B18,Unidades!$D$5:$N$27,10,FALSE())</f>
        <v>SIM</v>
      </c>
      <c r="K18" s="65" t="str">
        <f aca="false">VLOOKUP($B18,Unidades!$D$5:$N$27,11,FALSE())</f>
        <v>SIM</v>
      </c>
      <c r="L18" s="65" t="n">
        <f aca="false">$L$6*H18+(IF(J18="SIM",$J$6,0))</f>
        <v>4.2</v>
      </c>
      <c r="M18" s="65" t="n">
        <f aca="false">$M$6*H18+(IF(J18="SIM",$J$6,0))+(IF(K18="SIM",$K$6,0))</f>
        <v>8.2</v>
      </c>
      <c r="N18" s="65" t="n">
        <f aca="false">H18*12+I18*4+L18*2+M18</f>
        <v>50.2</v>
      </c>
      <c r="O18" s="66" t="n">
        <f aca="false">IF(K18="não", N18*(C$24+D$24),N18*(C$24+D$24)+(M18*+E$24))</f>
        <v>2967.7707384</v>
      </c>
      <c r="P18" s="67"/>
      <c r="Q18" s="23" t="str">
        <f aca="false">B18</f>
        <v>CEDOCPREV PORTO ALEGRE</v>
      </c>
      <c r="R18" s="25" t="n">
        <f aca="false">H18*($C$24+$D$24)</f>
        <v>106.421384</v>
      </c>
      <c r="S18" s="25" t="n">
        <f aca="false">I18*($C$24+$D$24)</f>
        <v>127.7056608</v>
      </c>
      <c r="T18" s="25" t="n">
        <f aca="false">L18*($C$24+$D$24)</f>
        <v>223.4849064</v>
      </c>
      <c r="U18" s="25" t="n">
        <f aca="false">IF(K18="não",M18*($C$24+$D$24),M18*(C$24+D$24+E$24))</f>
        <v>732.9216744</v>
      </c>
      <c r="V18" s="25" t="n">
        <f aca="false">VLOOKUP(Q18,'Desl. Base Porto Alegre'!$C$5:$S$18,13,FALSE())*($C$24+$D$24+$E$24*(VLOOKUP(Q18,'Desl. Base Porto Alegre'!$C$5:$S$18,17,FALSE())/12))</f>
        <v>29.9865912888889</v>
      </c>
      <c r="W18" s="25" t="n">
        <f aca="false">VLOOKUP(Q18,'Desl. Base Porto Alegre'!$C$5:$S$18,15,FALSE())*(2+(VLOOKUP(Q18,'Desl. Base Porto Alegre'!$C$5:$S$18,17,FALSE())/12))</f>
        <v>0</v>
      </c>
      <c r="X18" s="25" t="n">
        <f aca="false">VLOOKUP(Q18,'Desl. Base Porto Alegre'!$C$5:$Q$18,14,FALSE())</f>
        <v>0</v>
      </c>
      <c r="Y18" s="25" t="n">
        <f aca="false">VLOOKUP(Q18,'Desl. Base Porto Alegre'!$C$5:$Q$18,13,FALSE())*'Desl. Base Porto Alegre'!$E$23+'Desl. Base Porto Alegre'!$E$24*N18/12</f>
        <v>55.4373333333333</v>
      </c>
      <c r="Z18" s="25" t="n">
        <f aca="false">(H18/$AC$5)*'Equipe Técnica'!$C$13</f>
        <v>294.663817503348</v>
      </c>
      <c r="AA18" s="25" t="n">
        <f aca="false">(I18/$AC$5)*'Equipe Técnica'!$C$13</f>
        <v>353.596581004017</v>
      </c>
      <c r="AB18" s="25" t="n">
        <f aca="false">(L18/$AC$5)*'Equipe Técnica'!$C$13</f>
        <v>618.79401675703</v>
      </c>
      <c r="AC18" s="25" t="n">
        <f aca="false">(M18/$AC$5)*'Equipe Técnica'!$C$13</f>
        <v>1208.12165176373</v>
      </c>
      <c r="AD18" s="25" t="n">
        <f aca="false">R18+(($V18+$W18+$X18+$Y18)*12/19)+$Z18</f>
        <v>455.03715389633</v>
      </c>
      <c r="AE18" s="25" t="n">
        <f aca="false">S18+(($V18+$W18+$X18+$Y18)*12/19)+$AA18</f>
        <v>535.254194197</v>
      </c>
      <c r="AF18" s="25" t="n">
        <f aca="false">T18+(($V18+$W18+$X18+$Y18)*12/19)+$AB18</f>
        <v>896.230875550013</v>
      </c>
      <c r="AG18" s="25" t="n">
        <f aca="false">U18+(($V18+$W18+$X18+$Y18)*12/19)+$AC18</f>
        <v>1994.99527855671</v>
      </c>
      <c r="AI18" s="23" t="str">
        <f aca="false">B18</f>
        <v>CEDOCPREV PORTO ALEGRE</v>
      </c>
      <c r="AJ18" s="68" t="n">
        <f aca="false">VLOOKUP(AI18,Unidades!D$5:H$27,5,)</f>
        <v>0.2487</v>
      </c>
      <c r="AK18" s="47" t="n">
        <f aca="false">AD18*(1+$AJ18)</f>
        <v>568.204894070347</v>
      </c>
      <c r="AL18" s="47" t="n">
        <f aca="false">AE18*(1+$AJ18)</f>
        <v>668.371912293793</v>
      </c>
      <c r="AM18" s="47" t="n">
        <f aca="false">AF18*(1+$AJ18)</f>
        <v>1119.1234942993</v>
      </c>
      <c r="AN18" s="47" t="n">
        <f aca="false">AG18*(1+$AJ18)</f>
        <v>2491.15060433376</v>
      </c>
      <c r="AO18" s="47" t="n">
        <f aca="false">((AK18*12)+(AL18*4)+(AM18*2)+AN18)/12</f>
        <v>1185.11199757931</v>
      </c>
      <c r="AP18" s="47" t="n">
        <f aca="false">AO18*$AP$6</f>
        <v>3124.38617543636</v>
      </c>
      <c r="AQ18" s="47" t="n">
        <f aca="false">AO18+AP18</f>
        <v>4309.49817301567</v>
      </c>
      <c r="AR18" s="69"/>
      <c r="AS18" s="69"/>
      <c r="AT18" s="69"/>
      <c r="AU18" s="69"/>
      <c r="AV18" s="69"/>
      <c r="AW18" s="69"/>
    </row>
    <row r="19" s="2" customFormat="true" ht="15" hidden="false" customHeight="true" outlineLevel="0" collapsed="false">
      <c r="B19" s="63" t="s">
        <v>98</v>
      </c>
      <c r="C19" s="64" t="n">
        <f aca="false">VLOOKUP($B19,Unidades!$D$5:$N$27,6,FALSE())</f>
        <v>18091</v>
      </c>
      <c r="D19" s="64" t="n">
        <f aca="false">VLOOKUP($B19,Unidades!$D$5:$N$27,7,FALSE())</f>
        <v>9045.5</v>
      </c>
      <c r="E19" s="64" t="n">
        <f aca="false">VLOOKUP($B19,Unidades!$D$5:$N$27,8,FALSE())</f>
        <v>2713.65</v>
      </c>
      <c r="F19" s="64" t="n">
        <f aca="false">VLOOKUP($B19,Unidades!$D$5:$N$27,9,FALSE())</f>
        <v>6331.85</v>
      </c>
      <c r="G19" s="64" t="n">
        <f aca="false">D19+E19*$E$6+F19*$F$6</f>
        <v>10628.4625</v>
      </c>
      <c r="H19" s="65" t="n">
        <f aca="false">IF(G19&lt;750,1.5,IF(G19&lt;2000,2,IF(G19&lt;4000,3,12)))</f>
        <v>12</v>
      </c>
      <c r="I19" s="65" t="n">
        <f aca="false">$I$6*H19</f>
        <v>14.4</v>
      </c>
      <c r="J19" s="65" t="str">
        <f aca="false">VLOOKUP($B19,Unidades!$D$5:$N$27,10,FALSE())</f>
        <v>SIM</v>
      </c>
      <c r="K19" s="65" t="str">
        <f aca="false">VLOOKUP($B19,Unidades!$D$5:$N$27,11,FALSE())</f>
        <v>SIM</v>
      </c>
      <c r="L19" s="65" t="n">
        <f aca="false">$L$6*H19+(IF(J19="SIM",$J$6,0))</f>
        <v>15.2</v>
      </c>
      <c r="M19" s="65" t="n">
        <f aca="false">$M$6*H19+(IF(J19="SIM",$J$6,0))+(IF(K19="SIM",$K$6,0))</f>
        <v>19.2</v>
      </c>
      <c r="N19" s="65" t="n">
        <f aca="false">H19*12+I19*4+L19*2+M19</f>
        <v>251.2</v>
      </c>
      <c r="O19" s="66" t="n">
        <f aca="false">IF(K19="não", N19*(C$24+D$24),N19*(C$24+D$24)+(M19*+E$24))</f>
        <v>14060.9898304</v>
      </c>
      <c r="P19" s="67"/>
      <c r="Q19" s="23" t="str">
        <f aca="false">B19</f>
        <v>GEX PORTO ALEGRE</v>
      </c>
      <c r="R19" s="25" t="n">
        <f aca="false">H19*($C$24+$D$24)</f>
        <v>638.528304</v>
      </c>
      <c r="S19" s="25" t="n">
        <f aca="false">I19*($C$24+$D$24)</f>
        <v>766.2339648</v>
      </c>
      <c r="T19" s="25" t="n">
        <f aca="false">L19*($C$24+$D$24)</f>
        <v>808.8025184</v>
      </c>
      <c r="U19" s="25" t="n">
        <f aca="false">IF(K19="não",M19*($C$24+$D$24),M19*(C$24+D$24+E$24))</f>
        <v>1716.1092864</v>
      </c>
      <c r="V19" s="25" t="n">
        <f aca="false">VLOOKUP(Q19,'Desl. Base Porto Alegre'!$C$5:$S$18,13,FALSE())*($C$24+$D$24+$E$24*(VLOOKUP(Q19,'Desl. Base Porto Alegre'!$C$5:$S$18,17,FALSE())/12))</f>
        <v>1.87416195555556</v>
      </c>
      <c r="W19" s="25" t="n">
        <f aca="false">VLOOKUP(Q19,'Desl. Base Porto Alegre'!$C$5:$S$18,15,FALSE())*(2+(VLOOKUP(Q19,'Desl. Base Porto Alegre'!$C$5:$S$18,17,FALSE())/12))</f>
        <v>0</v>
      </c>
      <c r="X19" s="25" t="n">
        <f aca="false">VLOOKUP(Q19,'Desl. Base Porto Alegre'!$C$5:$Q$18,14,FALSE())</f>
        <v>0</v>
      </c>
      <c r="Y19" s="25" t="n">
        <f aca="false">VLOOKUP(Q19,'Desl. Base Porto Alegre'!$C$5:$Q$18,13,FALSE())*'Desl. Base Porto Alegre'!$E$23+'Desl. Base Porto Alegre'!$E$24*N19/12</f>
        <v>139.072333333333</v>
      </c>
      <c r="Z19" s="25" t="n">
        <f aca="false">(H19/$AC$5)*'Equipe Técnica'!$C$13</f>
        <v>1767.98290502009</v>
      </c>
      <c r="AA19" s="25" t="n">
        <f aca="false">(I19/$AC$5)*'Equipe Técnica'!$C$13</f>
        <v>2121.5794860241</v>
      </c>
      <c r="AB19" s="25" t="n">
        <f aca="false">(L19/$AC$5)*'Equipe Técnica'!$C$13</f>
        <v>2239.44501302544</v>
      </c>
      <c r="AC19" s="25" t="n">
        <f aca="false">(M19/$AC$5)*'Equipe Técnica'!$C$13</f>
        <v>2828.77264803214</v>
      </c>
      <c r="AD19" s="25" t="n">
        <f aca="false">R19+(($V19+$W19+$X19+$Y19)*12/19)+$Z19</f>
        <v>2495.53004814991</v>
      </c>
      <c r="AE19" s="25" t="n">
        <f aca="false">S19+(($V19+$W19+$X19+$Y19)*12/19)+$AA19</f>
        <v>2976.83228995393</v>
      </c>
      <c r="AF19" s="25" t="n">
        <f aca="false">T19+(($V19+$W19+$X19+$Y19)*12/19)+$AB19</f>
        <v>3137.26637055527</v>
      </c>
      <c r="AG19" s="25" t="n">
        <f aca="false">U19+(($V19+$W19+$X19+$Y19)*12/19)+$AC19</f>
        <v>4633.90077356196</v>
      </c>
      <c r="AI19" s="23" t="str">
        <f aca="false">B19</f>
        <v>GEX PORTO ALEGRE</v>
      </c>
      <c r="AJ19" s="68" t="n">
        <f aca="false">VLOOKUP(AI19,Unidades!D$5:H$27,5,)</f>
        <v>0.2487</v>
      </c>
      <c r="AK19" s="47" t="n">
        <f aca="false">AD19*(1+$AJ19)</f>
        <v>3116.16837112479</v>
      </c>
      <c r="AL19" s="47" t="n">
        <f aca="false">AE19*(1+$AJ19)</f>
        <v>3717.17048046547</v>
      </c>
      <c r="AM19" s="47" t="n">
        <f aca="false">AF19*(1+$AJ19)</f>
        <v>3917.50451691236</v>
      </c>
      <c r="AN19" s="47" t="n">
        <f aca="false">AG19*(1+$AJ19)</f>
        <v>5786.35189594682</v>
      </c>
      <c r="AO19" s="47" t="n">
        <f aca="false">((AK19*12)+(AL19*4)+(AM19*2)+AN19)/12</f>
        <v>5490.33860876091</v>
      </c>
      <c r="AP19" s="47" t="n">
        <f aca="false">AO19*$AP$6</f>
        <v>14474.5290594606</v>
      </c>
      <c r="AQ19" s="47" t="n">
        <f aca="false">AO19+AP19</f>
        <v>19964.8676682215</v>
      </c>
      <c r="AR19" s="69"/>
      <c r="AS19" s="69"/>
      <c r="AT19" s="69"/>
      <c r="AU19" s="69"/>
      <c r="AV19" s="69"/>
      <c r="AW19" s="69"/>
    </row>
    <row r="20" s="2" customFormat="true" ht="15" hidden="false" customHeight="true" outlineLevel="0" collapsed="false">
      <c r="B20" s="63" t="s">
        <v>99</v>
      </c>
      <c r="C20" s="64" t="n">
        <f aca="false">VLOOKUP($B20,Unidades!$D$5:$N$27,6,FALSE())</f>
        <v>7872</v>
      </c>
      <c r="D20" s="64" t="n">
        <f aca="false">VLOOKUP($B20,Unidades!$D$5:$N$27,7,FALSE())</f>
        <v>0</v>
      </c>
      <c r="E20" s="64" t="n">
        <f aca="false">VLOOKUP($B20,Unidades!$D$5:$N$27,8,FALSE())</f>
        <v>0</v>
      </c>
      <c r="F20" s="64" t="n">
        <f aca="false">VLOOKUP($B20,Unidades!$D$5:$N$27,9,FALSE())</f>
        <v>7872</v>
      </c>
      <c r="G20" s="64" t="n">
        <f aca="false">D20+E20*$E$6+F20*$F$6</f>
        <v>787.2</v>
      </c>
      <c r="H20" s="65" t="n">
        <f aca="false">IF(G20&lt;750,1.5,IF(G20&lt;2000,2,IF(G20&lt;4000,3,12)))</f>
        <v>2</v>
      </c>
      <c r="I20" s="65" t="n">
        <f aca="false">$I$6*H20</f>
        <v>2.4</v>
      </c>
      <c r="J20" s="65" t="str">
        <f aca="false">VLOOKUP($B20,Unidades!$D$5:$N$27,10,FALSE())</f>
        <v>NÃO</v>
      </c>
      <c r="K20" s="65" t="str">
        <f aca="false">VLOOKUP($B20,Unidades!$D$5:$N$27,11,FALSE())</f>
        <v>SIM</v>
      </c>
      <c r="L20" s="65" t="n">
        <f aca="false">$L$6*H20+(IF(J20="SIM",$J$6,0))</f>
        <v>2.2</v>
      </c>
      <c r="M20" s="65" t="n">
        <f aca="false">$M$6*H20+(IF(J20="SIM",$J$6,0))+(IF(K20="SIM",$K$6,0))</f>
        <v>6.2</v>
      </c>
      <c r="N20" s="65" t="n">
        <f aca="false">H20*12+I20*4+L20*2+M20</f>
        <v>44.2</v>
      </c>
      <c r="O20" s="66" t="n">
        <f aca="false">IF(K20="não", N20*(C$24+D$24),N20*(C$24+D$24)+(M20*+E$24))</f>
        <v>2576.1665864</v>
      </c>
      <c r="P20" s="67"/>
      <c r="Q20" s="23" t="str">
        <f aca="false">B20</f>
        <v>IPASE PORTO ALEGRE</v>
      </c>
      <c r="R20" s="25" t="n">
        <f aca="false">H20*($C$24+$D$24)</f>
        <v>106.421384</v>
      </c>
      <c r="S20" s="25" t="n">
        <f aca="false">I20*($C$24+$D$24)</f>
        <v>127.7056608</v>
      </c>
      <c r="T20" s="25" t="n">
        <f aca="false">L20*($C$24+$D$24)</f>
        <v>117.0635224</v>
      </c>
      <c r="U20" s="25" t="n">
        <f aca="false">IF(K20="não",M20*($C$24+$D$24),M20*(C$24+D$24+E$24))</f>
        <v>554.1602904</v>
      </c>
      <c r="V20" s="25" t="n">
        <f aca="false">VLOOKUP(Q20,'Desl. Base Porto Alegre'!$C$5:$S$18,13,FALSE())*($C$24+$D$24+$E$24*(VLOOKUP(Q20,'Desl. Base Porto Alegre'!$C$5:$S$18,17,FALSE())/12))</f>
        <v>1.87416195555556</v>
      </c>
      <c r="W20" s="25" t="n">
        <f aca="false">VLOOKUP(Q20,'Desl. Base Porto Alegre'!$C$5:$S$18,15,FALSE())*(2+(VLOOKUP(Q20,'Desl. Base Porto Alegre'!$C$5:$S$18,17,FALSE())/12))</f>
        <v>0</v>
      </c>
      <c r="X20" s="25" t="n">
        <f aca="false">VLOOKUP(Q20,'Desl. Base Porto Alegre'!$C$5:$Q$18,14,FALSE())</f>
        <v>0</v>
      </c>
      <c r="Y20" s="25" t="n">
        <f aca="false">VLOOKUP(Q20,'Desl. Base Porto Alegre'!$C$5:$Q$18,13,FALSE())*'Desl. Base Porto Alegre'!$E$23+'Desl. Base Porto Alegre'!$E$24*N20/12</f>
        <v>25.9123333333333</v>
      </c>
      <c r="Z20" s="25" t="n">
        <f aca="false">(H20/$AC$5)*'Equipe Técnica'!$C$13</f>
        <v>294.663817503348</v>
      </c>
      <c r="AA20" s="25" t="n">
        <f aca="false">(I20/$AC$5)*'Equipe Técnica'!$C$13</f>
        <v>353.596581004017</v>
      </c>
      <c r="AB20" s="25" t="n">
        <f aca="false">(L20/$AC$5)*'Equipe Técnica'!$C$13</f>
        <v>324.130199253683</v>
      </c>
      <c r="AC20" s="25" t="n">
        <f aca="false">(M20/$AC$5)*'Equipe Técnica'!$C$13</f>
        <v>913.457834260378</v>
      </c>
      <c r="AD20" s="25" t="n">
        <f aca="false">R20+(($V20+$W20+$X20+$Y20)*12/19)+$Z20</f>
        <v>418.634566948962</v>
      </c>
      <c r="AE20" s="25" t="n">
        <f aca="false">S20+(($V20+$W20+$X20+$Y20)*12/19)+$AA20</f>
        <v>498.851607249631</v>
      </c>
      <c r="AF20" s="25" t="n">
        <f aca="false">T20+(($V20+$W20+$X20+$Y20)*12/19)+$AB20</f>
        <v>458.743087099297</v>
      </c>
      <c r="AG20" s="25" t="n">
        <f aca="false">U20+(($V20+$W20+$X20+$Y20)*12/19)+$AC20</f>
        <v>1485.16749010599</v>
      </c>
      <c r="AI20" s="23" t="str">
        <f aca="false">B20</f>
        <v>IPASE PORTO ALEGRE</v>
      </c>
      <c r="AJ20" s="68" t="n">
        <f aca="false">VLOOKUP(AI20,Unidades!D$5:H$27,5,)</f>
        <v>0.2487</v>
      </c>
      <c r="AK20" s="47" t="n">
        <f aca="false">AD20*(1+$AJ20)</f>
        <v>522.748983749169</v>
      </c>
      <c r="AL20" s="47" t="n">
        <f aca="false">AE20*(1+$AJ20)</f>
        <v>622.916001972615</v>
      </c>
      <c r="AM20" s="47" t="n">
        <f aca="false">AF20*(1+$AJ20)</f>
        <v>572.832492860892</v>
      </c>
      <c r="AN20" s="47" t="n">
        <f aca="false">AG20*(1+$AJ20)</f>
        <v>1854.52864489535</v>
      </c>
      <c r="AO20" s="47" t="n">
        <f aca="false">((AK20*12)+(AL20*4)+(AM20*2)+AN20)/12</f>
        <v>980.403786958135</v>
      </c>
      <c r="AP20" s="47" t="n">
        <f aca="false">AO20*$AP$6</f>
        <v>2584.70089288963</v>
      </c>
      <c r="AQ20" s="47" t="n">
        <f aca="false">AO20+AP20</f>
        <v>3565.10467984776</v>
      </c>
      <c r="AR20" s="69"/>
      <c r="AS20" s="69"/>
      <c r="AT20" s="69"/>
      <c r="AU20" s="69"/>
      <c r="AV20" s="69"/>
      <c r="AW20" s="69"/>
    </row>
    <row r="21" s="54" customFormat="true" ht="19.5" hidden="false" customHeight="true" outlineLevel="0" collapsed="false">
      <c r="B21" s="73" t="s">
        <v>100</v>
      </c>
      <c r="C21" s="74" t="n">
        <f aca="false">SUM(C7:C20)</f>
        <v>61793.45</v>
      </c>
      <c r="D21" s="74" t="n">
        <f aca="false">SUM(D7:D20)</f>
        <v>19362.77</v>
      </c>
      <c r="E21" s="74" t="n">
        <f aca="false">SUM(E7:E20)</f>
        <v>11227.72</v>
      </c>
      <c r="F21" s="74" t="n">
        <f aca="false">SUM(F7:F20)</f>
        <v>31202.96</v>
      </c>
      <c r="G21" s="74" t="n">
        <f aca="false">SUM(G7:G20)</f>
        <v>26412.768</v>
      </c>
      <c r="H21" s="75" t="n">
        <f aca="false">SUM(H7:H20)</f>
        <v>46.5</v>
      </c>
      <c r="I21" s="75" t="n">
        <f aca="false">SUM(I7:I20)</f>
        <v>55.8</v>
      </c>
      <c r="J21" s="75" t="n">
        <f aca="false">COUNTIF(J7:J20,"SIM")</f>
        <v>7</v>
      </c>
      <c r="K21" s="75" t="n">
        <f aca="false">COUNTIF(K7:K20,"SIM")</f>
        <v>10</v>
      </c>
      <c r="L21" s="75" t="n">
        <f aca="false">SUM(L7:L20)</f>
        <v>65.15</v>
      </c>
      <c r="M21" s="75" t="n">
        <f aca="false">SUM(M7:M20)</f>
        <v>105.15</v>
      </c>
      <c r="N21" s="75" t="n">
        <f aca="false">SUM(N7:N20)</f>
        <v>1016.65</v>
      </c>
      <c r="O21" s="76" t="n">
        <f aca="false">SUM(O7:O20)</f>
        <v>57661.2035218</v>
      </c>
      <c r="P21" s="77"/>
      <c r="Q21" s="75" t="s">
        <v>100</v>
      </c>
      <c r="R21" s="78" t="n">
        <f aca="false">SUM(R7:R20)</f>
        <v>2474.297178</v>
      </c>
      <c r="S21" s="78" t="n">
        <f aca="false">SUM(S7:S20)</f>
        <v>2969.1566136</v>
      </c>
      <c r="T21" s="78" t="n">
        <f aca="false">SUM(T7:T20)</f>
        <v>3466.6765838</v>
      </c>
      <c r="U21" s="78" t="n">
        <f aca="false">SUM(U7:U20)</f>
        <v>9159.6577638</v>
      </c>
      <c r="V21" s="78" t="n">
        <f aca="false">SUM(V7:V20)</f>
        <v>370.146986222222</v>
      </c>
      <c r="W21" s="78" t="n">
        <f aca="false">SUM(W7:W20)</f>
        <v>0</v>
      </c>
      <c r="X21" s="78" t="n">
        <f aca="false">SUM(X7:X20)</f>
        <v>0</v>
      </c>
      <c r="Y21" s="78" t="n">
        <f aca="false">SUM(Y7:Y20)</f>
        <v>901.327833333333</v>
      </c>
      <c r="Z21" s="78" t="n">
        <f aca="false">SUM(Z7:Z20)</f>
        <v>6850.93375695283</v>
      </c>
      <c r="AA21" s="78" t="n">
        <f aca="false">SUM(AA7:AA20)</f>
        <v>8221.1205083434</v>
      </c>
      <c r="AB21" s="78" t="n">
        <f aca="false">SUM(AB7:AB20)</f>
        <v>9598.67385517155</v>
      </c>
      <c r="AC21" s="78" t="n">
        <f aca="false">SUM(AC7:AC20)</f>
        <v>15491.9502052385</v>
      </c>
      <c r="AD21" s="78" t="n">
        <f aca="false">SUM(AD7:AD20)</f>
        <v>10128.2676630932</v>
      </c>
      <c r="AE21" s="78" t="n">
        <f aca="false">SUM(AE7:AE20)</f>
        <v>11993.3138500838</v>
      </c>
      <c r="AF21" s="78" t="n">
        <f aca="false">SUM(AF7:AF20)</f>
        <v>13868.3871671119</v>
      </c>
      <c r="AG21" s="78" t="n">
        <f aca="false">SUM(AG7:AG20)</f>
        <v>25454.6446971789</v>
      </c>
      <c r="AI21" s="75" t="s">
        <v>100</v>
      </c>
      <c r="AJ21" s="75"/>
      <c r="AK21" s="79" t="n">
        <f aca="false">SUM(AK7:AK20)</f>
        <v>12581.1166782717</v>
      </c>
      <c r="AL21" s="79" t="n">
        <f aca="false">SUM(AL7:AL20)</f>
        <v>14898.578950854</v>
      </c>
      <c r="AM21" s="79" t="n">
        <f aca="false">SUM(AM7:AM20)</f>
        <v>17221.7887743738</v>
      </c>
      <c r="AN21" s="79" t="n">
        <f aca="false">SUM(AN7:AN20)</f>
        <v>31596.4354224099</v>
      </c>
      <c r="AO21" s="79" t="n">
        <f aca="false">SUM(AO7:AO20)</f>
        <v>23050.6440761528</v>
      </c>
      <c r="AP21" s="79" t="n">
        <f aca="false">SUM(AP7:AP20)</f>
        <v>60769.8798371301</v>
      </c>
      <c r="AQ21" s="79" t="n">
        <f aca="false">SUM(AQ7:AQ20)</f>
        <v>83820.5239132829</v>
      </c>
    </row>
    <row r="22" customFormat="false" ht="18" hidden="false" customHeight="true" outlineLevel="0" collapsed="false">
      <c r="H22" s="80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55"/>
      <c r="AE22" s="55"/>
      <c r="AF22" s="55"/>
      <c r="AG22" s="55"/>
    </row>
    <row r="23" customFormat="false" ht="39.75" hidden="false" customHeight="true" outlineLevel="0" collapsed="false">
      <c r="B23" s="46" t="s">
        <v>30</v>
      </c>
      <c r="C23" s="82" t="s">
        <v>101</v>
      </c>
      <c r="D23" s="82" t="s">
        <v>102</v>
      </c>
      <c r="E23" s="82" t="s">
        <v>103</v>
      </c>
      <c r="R23" s="83"/>
      <c r="Z23" s="83"/>
      <c r="AA23" s="83"/>
      <c r="AB23" s="83"/>
      <c r="AC23" s="83"/>
    </row>
    <row r="24" customFormat="false" ht="18" hidden="false" customHeight="true" outlineLevel="0" collapsed="false">
      <c r="B24" s="46"/>
      <c r="C24" s="25" t="n">
        <f aca="false">'Comp. Oficial de Manutenção'!D11</f>
        <v>28.820692</v>
      </c>
      <c r="D24" s="25" t="n">
        <v>24.39</v>
      </c>
      <c r="E24" s="25" t="n">
        <v>36.17</v>
      </c>
    </row>
    <row r="25" customFormat="false" ht="28.5" hidden="false" customHeight="true" outlineLevel="0" collapsed="false">
      <c r="B25" s="50" t="str">
        <f aca="false">'Equipe Técnica'!B9</f>
        <v>* Tabela SINAPI Janeiro/2025 (Não Desonerado)</v>
      </c>
    </row>
    <row r="26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1"/>
  <sheetViews>
    <sheetView showFormulas="false" showGridLines="false" showRowColHeaders="true" showZeros="true" rightToLeft="false" tabSelected="false" showOutlineSymbols="true" defaultGridColor="true" view="normal" topLeftCell="A13" colorId="64" zoomScale="110" zoomScaleNormal="110" zoomScalePageLayoutView="100" workbookViewId="0">
      <selection pane="topLeft" activeCell="R15" activeCellId="0" sqref="R15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3" min="4" style="84" width="9.62"/>
    <col collapsed="false" customWidth="true" hidden="false" outlineLevel="0" max="15" min="14" style="85" width="9.62"/>
    <col collapsed="false" customWidth="true" hidden="false" outlineLevel="0" max="17" min="16" style="84" width="9.62"/>
    <col collapsed="false" customWidth="true" hidden="false" outlineLevel="0" max="18" min="18" style="84" width="11.5"/>
    <col collapsed="false" customWidth="true" hidden="false" outlineLevel="0" max="19" min="19" style="84" width="15.26"/>
    <col collapsed="false" customWidth="false" hidden="false" outlineLevel="0" max="260" min="20" style="84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"&amp;Resumo!B5</f>
        <v>DESLOCAMENTO BASE PORTO ALEGRE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</row>
    <row r="4" customFormat="false" ht="37.5" hidden="false" customHeight="true" outlineLevel="0" collapsed="false">
      <c r="B4" s="22" t="s">
        <v>104</v>
      </c>
      <c r="C4" s="22" t="str">
        <f aca="false">"Rota (saída e retorno "&amp;Resumo!B5&amp;")"</f>
        <v>Rota (saída e retorno PORTO ALEGRE)</v>
      </c>
      <c r="D4" s="22" t="s">
        <v>105</v>
      </c>
      <c r="E4" s="22" t="s">
        <v>106</v>
      </c>
      <c r="F4" s="22" t="s">
        <v>107</v>
      </c>
      <c r="G4" s="22" t="s">
        <v>108</v>
      </c>
      <c r="H4" s="22" t="s">
        <v>109</v>
      </c>
      <c r="I4" s="22" t="s">
        <v>110</v>
      </c>
      <c r="J4" s="22" t="s">
        <v>111</v>
      </c>
      <c r="K4" s="22" t="s">
        <v>112</v>
      </c>
      <c r="L4" s="22" t="s">
        <v>113</v>
      </c>
      <c r="M4" s="87" t="s">
        <v>114</v>
      </c>
      <c r="N4" s="22" t="s">
        <v>115</v>
      </c>
      <c r="O4" s="22" t="s">
        <v>116</v>
      </c>
      <c r="P4" s="22" t="s">
        <v>117</v>
      </c>
      <c r="Q4" s="22" t="s">
        <v>67</v>
      </c>
      <c r="R4" s="33" t="s">
        <v>118</v>
      </c>
      <c r="S4" s="33" t="s">
        <v>119</v>
      </c>
    </row>
    <row r="5" customFormat="false" ht="15.75" hidden="false" customHeight="true" outlineLevel="0" collapsed="false">
      <c r="B5" s="88" t="n">
        <v>1</v>
      </c>
      <c r="C5" s="89" t="s">
        <v>98</v>
      </c>
      <c r="D5" s="90" t="n">
        <v>2</v>
      </c>
      <c r="E5" s="90" t="n">
        <v>2</v>
      </c>
      <c r="F5" s="90" t="n">
        <v>0</v>
      </c>
      <c r="G5" s="91" t="n">
        <f aca="false">SUM(D5:F6)</f>
        <v>4</v>
      </c>
      <c r="H5" s="92" t="n">
        <v>2</v>
      </c>
      <c r="I5" s="92" t="n">
        <v>2</v>
      </c>
      <c r="J5" s="92" t="n">
        <v>0</v>
      </c>
      <c r="K5" s="93" t="n">
        <f aca="false">SUM(H5:J6)</f>
        <v>4</v>
      </c>
      <c r="L5" s="94" t="n">
        <f aca="false">K5/60</f>
        <v>0.0666666666666667</v>
      </c>
      <c r="M5" s="95" t="n">
        <v>0</v>
      </c>
      <c r="N5" s="93" t="n">
        <v>2</v>
      </c>
      <c r="O5" s="96" t="n">
        <f aca="false">L5/N5</f>
        <v>0.0333333333333333</v>
      </c>
      <c r="P5" s="97" t="n">
        <v>0</v>
      </c>
      <c r="Q5" s="97" t="n">
        <v>0</v>
      </c>
      <c r="R5" s="98" t="str">
        <f aca="false">INDEX('Base Porto Alegre'!$K$7:$K$20,MATCH('Desl. Base Porto Alegre'!C5,'Base Porto Alegre'!$B$7:$B$20,0))</f>
        <v>SIM</v>
      </c>
      <c r="S5" s="98" t="n">
        <v>1</v>
      </c>
    </row>
    <row r="6" customFormat="false" ht="15.75" hidden="false" customHeight="true" outlineLevel="0" collapsed="false">
      <c r="B6" s="88"/>
      <c r="C6" s="89" t="s">
        <v>99</v>
      </c>
      <c r="D6" s="90"/>
      <c r="E6" s="90"/>
      <c r="F6" s="90"/>
      <c r="G6" s="91"/>
      <c r="H6" s="92"/>
      <c r="I6" s="92"/>
      <c r="J6" s="92"/>
      <c r="K6" s="93"/>
      <c r="L6" s="94"/>
      <c r="M6" s="95"/>
      <c r="N6" s="93"/>
      <c r="O6" s="96" t="n">
        <f aca="false">O5</f>
        <v>0.0333333333333333</v>
      </c>
      <c r="P6" s="97" t="n">
        <v>0</v>
      </c>
      <c r="Q6" s="97" t="n">
        <v>0</v>
      </c>
      <c r="R6" s="98" t="str">
        <f aca="false">INDEX('Base Porto Alegre'!$K$7:$K$20,MATCH('Desl. Base Porto Alegre'!C6,'Base Porto Alegre'!$B$7:$B$20,0))</f>
        <v>SIM</v>
      </c>
      <c r="S6" s="98" t="n">
        <v>1</v>
      </c>
    </row>
    <row r="7" customFormat="false" ht="15.75" hidden="false" customHeight="true" outlineLevel="0" collapsed="false">
      <c r="B7" s="88" t="n">
        <v>2</v>
      </c>
      <c r="C7" s="89" t="s">
        <v>93</v>
      </c>
      <c r="D7" s="90" t="n">
        <v>0.45</v>
      </c>
      <c r="E7" s="90" t="n">
        <v>3.6</v>
      </c>
      <c r="F7" s="90" t="n">
        <v>4.5</v>
      </c>
      <c r="G7" s="91" t="n">
        <f aca="false">SUM(D7:F8)</f>
        <v>8.55</v>
      </c>
      <c r="H7" s="92" t="n">
        <v>2</v>
      </c>
      <c r="I7" s="92" t="n">
        <v>11</v>
      </c>
      <c r="J7" s="92" t="n">
        <v>9</v>
      </c>
      <c r="K7" s="93" t="n">
        <f aca="false">SUM(H7:J8)</f>
        <v>22</v>
      </c>
      <c r="L7" s="94" t="n">
        <f aca="false">K7/60</f>
        <v>0.366666666666667</v>
      </c>
      <c r="M7" s="95" t="n">
        <v>0</v>
      </c>
      <c r="N7" s="93" t="n">
        <v>2</v>
      </c>
      <c r="O7" s="96" t="n">
        <f aca="false">L7/N7</f>
        <v>0.183333333333333</v>
      </c>
      <c r="P7" s="97" t="n">
        <v>0</v>
      </c>
      <c r="Q7" s="97" t="n">
        <v>0</v>
      </c>
      <c r="R7" s="98" t="str">
        <f aca="false">INDEX('Base Porto Alegre'!$K$7:$K$20,MATCH('Desl. Base Porto Alegre'!C7,'Base Porto Alegre'!$B$7:$B$20,0))</f>
        <v>SIM</v>
      </c>
      <c r="S7" s="98" t="n">
        <v>1</v>
      </c>
    </row>
    <row r="8" customFormat="false" ht="15.75" hidden="false" customHeight="true" outlineLevel="0" collapsed="false">
      <c r="B8" s="88"/>
      <c r="C8" s="89" t="s">
        <v>95</v>
      </c>
      <c r="D8" s="90"/>
      <c r="E8" s="90"/>
      <c r="F8" s="90"/>
      <c r="G8" s="91"/>
      <c r="H8" s="92"/>
      <c r="I8" s="92"/>
      <c r="J8" s="92"/>
      <c r="K8" s="93"/>
      <c r="L8" s="94"/>
      <c r="M8" s="95"/>
      <c r="N8" s="93"/>
      <c r="O8" s="96" t="n">
        <f aca="false">O7</f>
        <v>0.183333333333333</v>
      </c>
      <c r="P8" s="97" t="n">
        <v>0</v>
      </c>
      <c r="Q8" s="97" t="n">
        <v>0</v>
      </c>
      <c r="R8" s="98" t="str">
        <f aca="false">INDEX('Base Porto Alegre'!$K$7:$K$20,MATCH('Desl. Base Porto Alegre'!C8,'Base Porto Alegre'!$B$7:$B$20,0))</f>
        <v>SIM</v>
      </c>
      <c r="S8" s="98" t="n">
        <v>1</v>
      </c>
    </row>
    <row r="9" customFormat="false" ht="15.75" hidden="false" customHeight="true" outlineLevel="0" collapsed="false">
      <c r="B9" s="88" t="n">
        <v>3</v>
      </c>
      <c r="C9" s="89" t="s">
        <v>96</v>
      </c>
      <c r="D9" s="90" t="n">
        <v>11.5</v>
      </c>
      <c r="E9" s="90" t="n">
        <f aca="false">25.1-11.5</f>
        <v>13.6</v>
      </c>
      <c r="F9" s="90" t="n">
        <v>6.4</v>
      </c>
      <c r="G9" s="91" t="n">
        <f aca="false">SUM(D9:F10)</f>
        <v>31.5</v>
      </c>
      <c r="H9" s="92" t="n">
        <v>20</v>
      </c>
      <c r="I9" s="92" t="n">
        <v>30</v>
      </c>
      <c r="J9" s="92" t="n">
        <v>14</v>
      </c>
      <c r="K9" s="93" t="n">
        <f aca="false">SUM(H9:J10)</f>
        <v>64</v>
      </c>
      <c r="L9" s="94" t="n">
        <f aca="false">K9/60</f>
        <v>1.06666666666667</v>
      </c>
      <c r="M9" s="95" t="n">
        <v>0</v>
      </c>
      <c r="N9" s="93" t="n">
        <v>2</v>
      </c>
      <c r="O9" s="96" t="n">
        <f aca="false">L9/N9</f>
        <v>0.533333333333333</v>
      </c>
      <c r="P9" s="97" t="n">
        <v>0</v>
      </c>
      <c r="Q9" s="97" t="n">
        <v>0</v>
      </c>
      <c r="R9" s="98" t="str">
        <f aca="false">INDEX('Base Porto Alegre'!$K$7:$K$20,MATCH('Desl. Base Porto Alegre'!C9,'Base Porto Alegre'!$B$7:$B$20,0))</f>
        <v>SIM</v>
      </c>
      <c r="S9" s="98" t="n">
        <v>1</v>
      </c>
    </row>
    <row r="10" customFormat="false" ht="15.75" hidden="false" customHeight="true" outlineLevel="0" collapsed="false">
      <c r="B10" s="88"/>
      <c r="C10" s="89" t="s">
        <v>97</v>
      </c>
      <c r="D10" s="90"/>
      <c r="E10" s="90"/>
      <c r="F10" s="90"/>
      <c r="G10" s="91"/>
      <c r="H10" s="92"/>
      <c r="I10" s="92"/>
      <c r="J10" s="92"/>
      <c r="K10" s="93"/>
      <c r="L10" s="94"/>
      <c r="M10" s="95" t="n">
        <v>0</v>
      </c>
      <c r="N10" s="93"/>
      <c r="O10" s="96" t="n">
        <f aca="false">O9</f>
        <v>0.533333333333333</v>
      </c>
      <c r="P10" s="97" t="n">
        <v>0</v>
      </c>
      <c r="Q10" s="97" t="n">
        <v>0</v>
      </c>
      <c r="R10" s="98" t="str">
        <f aca="false">INDEX('Base Porto Alegre'!$K$7:$K$20,MATCH('Desl. Base Porto Alegre'!C10,'Base Porto Alegre'!$B$7:$B$20,0))</f>
        <v>SIM</v>
      </c>
      <c r="S10" s="98" t="n">
        <v>1</v>
      </c>
    </row>
    <row r="11" customFormat="false" ht="15.75" hidden="false" customHeight="true" outlineLevel="0" collapsed="false">
      <c r="B11" s="88" t="n">
        <v>4</v>
      </c>
      <c r="C11" s="89" t="s">
        <v>87</v>
      </c>
      <c r="D11" s="90" t="n">
        <v>13</v>
      </c>
      <c r="E11" s="90" t="n">
        <v>5.5</v>
      </c>
      <c r="F11" s="90" t="n">
        <v>16.6</v>
      </c>
      <c r="G11" s="91" t="n">
        <f aca="false">SUM(D11:F12)</f>
        <v>35.1</v>
      </c>
      <c r="H11" s="92" t="n">
        <v>16</v>
      </c>
      <c r="I11" s="92" t="n">
        <v>11</v>
      </c>
      <c r="J11" s="92" t="n">
        <v>20</v>
      </c>
      <c r="K11" s="93" t="n">
        <f aca="false">SUM(H11:J12)</f>
        <v>47</v>
      </c>
      <c r="L11" s="94" t="n">
        <f aca="false">K11/60</f>
        <v>0.783333333333333</v>
      </c>
      <c r="M11" s="95" t="n">
        <v>0</v>
      </c>
      <c r="N11" s="93" t="n">
        <v>2</v>
      </c>
      <c r="O11" s="96" t="n">
        <f aca="false">L11/N11</f>
        <v>0.391666666666667</v>
      </c>
      <c r="P11" s="97" t="n">
        <v>0</v>
      </c>
      <c r="Q11" s="97" t="n">
        <v>0</v>
      </c>
      <c r="R11" s="98" t="str">
        <f aca="false">INDEX('Base Porto Alegre'!$K$7:$K$20,MATCH('Desl. Base Porto Alegre'!C11,'Base Porto Alegre'!$B$7:$B$20,0))</f>
        <v>NÃO</v>
      </c>
      <c r="S11" s="98" t="n">
        <v>1</v>
      </c>
    </row>
    <row r="12" customFormat="false" ht="15.75" hidden="false" customHeight="true" outlineLevel="0" collapsed="false">
      <c r="B12" s="88"/>
      <c r="C12" s="89" t="s">
        <v>90</v>
      </c>
      <c r="D12" s="90"/>
      <c r="E12" s="90"/>
      <c r="F12" s="90"/>
      <c r="G12" s="91"/>
      <c r="H12" s="92"/>
      <c r="I12" s="92"/>
      <c r="J12" s="92"/>
      <c r="K12" s="93"/>
      <c r="L12" s="94"/>
      <c r="M12" s="95"/>
      <c r="N12" s="93"/>
      <c r="O12" s="96" t="n">
        <f aca="false">O11</f>
        <v>0.391666666666667</v>
      </c>
      <c r="P12" s="97" t="n">
        <v>0</v>
      </c>
      <c r="Q12" s="97" t="n">
        <v>0</v>
      </c>
      <c r="R12" s="98" t="str">
        <f aca="false">INDEX('Base Porto Alegre'!$K$7:$K$20,MATCH('Desl. Base Porto Alegre'!C12,'Base Porto Alegre'!$B$7:$B$20,0))</f>
        <v>SIM</v>
      </c>
      <c r="S12" s="98" t="n">
        <v>1</v>
      </c>
    </row>
    <row r="13" customFormat="false" ht="15.75" hidden="false" customHeight="true" outlineLevel="0" collapsed="false">
      <c r="B13" s="88" t="n">
        <v>5</v>
      </c>
      <c r="C13" s="89" t="s">
        <v>81</v>
      </c>
      <c r="D13" s="90" t="n">
        <v>27.3</v>
      </c>
      <c r="E13" s="90" t="n">
        <v>2.2</v>
      </c>
      <c r="F13" s="90" t="n">
        <v>32.5</v>
      </c>
      <c r="G13" s="91" t="n">
        <f aca="false">SUM(D13:F14)</f>
        <v>62</v>
      </c>
      <c r="H13" s="92" t="n">
        <v>27</v>
      </c>
      <c r="I13" s="92" t="n">
        <v>7</v>
      </c>
      <c r="J13" s="92" t="n">
        <v>28</v>
      </c>
      <c r="K13" s="93" t="n">
        <f aca="false">SUM(H13:J14)</f>
        <v>62</v>
      </c>
      <c r="L13" s="94" t="n">
        <f aca="false">K13/60</f>
        <v>1.03333333333333</v>
      </c>
      <c r="M13" s="95" t="n">
        <v>0</v>
      </c>
      <c r="N13" s="93" t="n">
        <v>2</v>
      </c>
      <c r="O13" s="96" t="n">
        <f aca="false">L13/N13</f>
        <v>0.516666666666667</v>
      </c>
      <c r="P13" s="97" t="n">
        <v>0</v>
      </c>
      <c r="Q13" s="97" t="n">
        <v>0</v>
      </c>
      <c r="R13" s="98" t="str">
        <f aca="false">INDEX('Base Porto Alegre'!$K$7:$K$20,MATCH('Desl. Base Porto Alegre'!C13,'Base Porto Alegre'!$B$7:$B$20,0))</f>
        <v>SIM</v>
      </c>
      <c r="S13" s="98" t="n">
        <v>1</v>
      </c>
    </row>
    <row r="14" customFormat="false" ht="15.75" hidden="false" customHeight="true" outlineLevel="0" collapsed="false">
      <c r="B14" s="88"/>
      <c r="C14" s="89" t="s">
        <v>89</v>
      </c>
      <c r="D14" s="90"/>
      <c r="E14" s="90"/>
      <c r="F14" s="90"/>
      <c r="G14" s="91"/>
      <c r="H14" s="92"/>
      <c r="I14" s="92"/>
      <c r="J14" s="92"/>
      <c r="K14" s="93"/>
      <c r="L14" s="94"/>
      <c r="M14" s="95"/>
      <c r="N14" s="93"/>
      <c r="O14" s="96" t="n">
        <f aca="false">O13</f>
        <v>0.516666666666667</v>
      </c>
      <c r="P14" s="97" t="n">
        <v>0</v>
      </c>
      <c r="Q14" s="97" t="n">
        <v>0</v>
      </c>
      <c r="R14" s="98" t="str">
        <f aca="false">INDEX('Base Porto Alegre'!$K$7:$K$20,MATCH('Desl. Base Porto Alegre'!C14,'Base Porto Alegre'!$B$7:$B$20,0))</f>
        <v>NÃO</v>
      </c>
      <c r="S14" s="98" t="n">
        <v>1</v>
      </c>
    </row>
    <row r="15" customFormat="false" ht="15.75" hidden="false" customHeight="true" outlineLevel="0" collapsed="false">
      <c r="B15" s="88" t="n">
        <v>6</v>
      </c>
      <c r="C15" s="89" t="s">
        <v>83</v>
      </c>
      <c r="D15" s="90" t="n">
        <v>22.5</v>
      </c>
      <c r="E15" s="90" t="n">
        <v>9.5</v>
      </c>
      <c r="F15" s="90" t="n">
        <v>30.6</v>
      </c>
      <c r="G15" s="91" t="n">
        <f aca="false">SUM(D15:F16)</f>
        <v>62.6</v>
      </c>
      <c r="H15" s="92" t="n">
        <v>29</v>
      </c>
      <c r="I15" s="92" t="n">
        <v>21</v>
      </c>
      <c r="J15" s="92" t="n">
        <v>34</v>
      </c>
      <c r="K15" s="93" t="n">
        <f aca="false">SUM(H15:J16)</f>
        <v>84</v>
      </c>
      <c r="L15" s="94" t="n">
        <f aca="false">K15/60</f>
        <v>1.4</v>
      </c>
      <c r="M15" s="95" t="n">
        <v>0</v>
      </c>
      <c r="N15" s="93" t="n">
        <v>2</v>
      </c>
      <c r="O15" s="96" t="n">
        <f aca="false">L15/N15</f>
        <v>0.7</v>
      </c>
      <c r="P15" s="97" t="n">
        <v>0</v>
      </c>
      <c r="Q15" s="97" t="n">
        <v>0</v>
      </c>
      <c r="R15" s="98" t="str">
        <f aca="false">INDEX('Base Porto Alegre'!$K$7:$K$20,MATCH('Desl. Base Porto Alegre'!C15,'Base Porto Alegre'!$B$7:$B$20,0))</f>
        <v>NÃO</v>
      </c>
      <c r="S15" s="98" t="n">
        <v>1</v>
      </c>
    </row>
    <row r="16" customFormat="false" ht="15.75" hidden="false" customHeight="true" outlineLevel="0" collapsed="false">
      <c r="B16" s="88"/>
      <c r="C16" s="89" t="s">
        <v>85</v>
      </c>
      <c r="D16" s="90"/>
      <c r="E16" s="90"/>
      <c r="F16" s="90"/>
      <c r="G16" s="91"/>
      <c r="H16" s="92"/>
      <c r="I16" s="92"/>
      <c r="J16" s="92"/>
      <c r="K16" s="93"/>
      <c r="L16" s="94"/>
      <c r="M16" s="95"/>
      <c r="N16" s="93"/>
      <c r="O16" s="96" t="n">
        <f aca="false">O15</f>
        <v>0.7</v>
      </c>
      <c r="P16" s="97" t="n">
        <v>0</v>
      </c>
      <c r="Q16" s="97" t="n">
        <v>0</v>
      </c>
      <c r="R16" s="98" t="str">
        <f aca="false">INDEX('Base Porto Alegre'!$K$7:$K$20,MATCH('Desl. Base Porto Alegre'!C16,'Base Porto Alegre'!$B$7:$B$20,0))</f>
        <v>SIM</v>
      </c>
      <c r="S16" s="98" t="n">
        <v>1</v>
      </c>
    </row>
    <row r="17" customFormat="false" ht="15.75" hidden="false" customHeight="true" outlineLevel="0" collapsed="false">
      <c r="B17" s="88" t="n">
        <v>7</v>
      </c>
      <c r="C17" s="89" t="s">
        <v>86</v>
      </c>
      <c r="D17" s="90" t="n">
        <v>30.8</v>
      </c>
      <c r="E17" s="90" t="n">
        <f aca="false">75.3-D17</f>
        <v>44.5</v>
      </c>
      <c r="F17" s="90" t="n">
        <v>24.3</v>
      </c>
      <c r="G17" s="91" t="n">
        <f aca="false">SUM(D17:F18)</f>
        <v>99.6</v>
      </c>
      <c r="H17" s="92" t="n">
        <v>29</v>
      </c>
      <c r="I17" s="92" t="n">
        <f aca="false">83-H17</f>
        <v>54</v>
      </c>
      <c r="J17" s="92" t="n">
        <v>29</v>
      </c>
      <c r="K17" s="93" t="n">
        <f aca="false">SUM(H17:J18)</f>
        <v>112</v>
      </c>
      <c r="L17" s="94" t="n">
        <f aca="false">K17/60</f>
        <v>1.86666666666667</v>
      </c>
      <c r="M17" s="95" t="n">
        <v>0</v>
      </c>
      <c r="N17" s="93" t="n">
        <v>2</v>
      </c>
      <c r="O17" s="96" t="n">
        <f aca="false">L17/N17</f>
        <v>0.933333333333333</v>
      </c>
      <c r="P17" s="97" t="n">
        <v>0</v>
      </c>
      <c r="Q17" s="97" t="n">
        <v>0</v>
      </c>
      <c r="R17" s="98" t="str">
        <f aca="false">INDEX('Base Porto Alegre'!$K$7:$K$20,MATCH('Desl. Base Porto Alegre'!C17,'Base Porto Alegre'!$B$7:$B$20,0))</f>
        <v>SIM</v>
      </c>
      <c r="S17" s="98" t="n">
        <v>1</v>
      </c>
    </row>
    <row r="18" customFormat="false" ht="15.75" hidden="false" customHeight="true" outlineLevel="0" collapsed="false">
      <c r="B18" s="88"/>
      <c r="C18" s="89" t="s">
        <v>92</v>
      </c>
      <c r="D18" s="90"/>
      <c r="E18" s="90"/>
      <c r="F18" s="90"/>
      <c r="G18" s="91"/>
      <c r="H18" s="92"/>
      <c r="I18" s="92"/>
      <c r="J18" s="92"/>
      <c r="K18" s="93"/>
      <c r="L18" s="94"/>
      <c r="M18" s="95"/>
      <c r="N18" s="93"/>
      <c r="O18" s="96" t="n">
        <f aca="false">O17</f>
        <v>0.933333333333333</v>
      </c>
      <c r="P18" s="97" t="n">
        <v>0</v>
      </c>
      <c r="Q18" s="97" t="n">
        <v>0</v>
      </c>
      <c r="R18" s="98" t="str">
        <f aca="false">INDEX('Base Porto Alegre'!$K$7:$K$20,MATCH('Desl. Base Porto Alegre'!C18,'Base Porto Alegre'!$B$7:$B$20,0))</f>
        <v>NÃO</v>
      </c>
      <c r="S18" s="98" t="n">
        <v>1</v>
      </c>
    </row>
    <row r="19" customFormat="false" ht="19.5" hidden="false" customHeight="true" outlineLevel="0" collapsed="false">
      <c r="B19" s="99" t="s">
        <v>100</v>
      </c>
      <c r="C19" s="99"/>
      <c r="D19" s="99"/>
      <c r="E19" s="99"/>
      <c r="F19" s="99"/>
      <c r="G19" s="100" t="n">
        <f aca="false">SUM(G5:G18)</f>
        <v>303.35</v>
      </c>
      <c r="H19" s="101" t="s">
        <v>100</v>
      </c>
      <c r="I19" s="101"/>
      <c r="J19" s="101"/>
      <c r="K19" s="102" t="n">
        <f aca="false">SUM(K5:K18)</f>
        <v>395</v>
      </c>
      <c r="L19" s="103" t="n">
        <f aca="false">SUM(L5:L18)</f>
        <v>6.58333333333333</v>
      </c>
      <c r="M19" s="104" t="n">
        <f aca="false">SUM(M5:M18)</f>
        <v>0</v>
      </c>
      <c r="N19" s="105" t="n">
        <f aca="false">SUM(N5:N18)</f>
        <v>14</v>
      </c>
      <c r="O19" s="103"/>
      <c r="P19" s="104"/>
      <c r="Q19" s="104" t="n">
        <f aca="false">SUM(Q5:Q18)</f>
        <v>0</v>
      </c>
      <c r="R19" s="104"/>
      <c r="S19" s="104"/>
    </row>
    <row r="20" customFormat="false" ht="16.5" hidden="false" customHeight="true" outlineLevel="0" collapsed="false">
      <c r="B20" s="106"/>
      <c r="C20" s="106"/>
      <c r="D20" s="106"/>
      <c r="E20" s="106"/>
      <c r="F20" s="106"/>
    </row>
    <row r="21" customFormat="false" ht="18.75" hidden="false" customHeight="true" outlineLevel="0" collapsed="false">
      <c r="B21" s="107" t="s">
        <v>120</v>
      </c>
      <c r="C21" s="107"/>
      <c r="D21" s="107"/>
      <c r="E21" s="107"/>
      <c r="F21" s="106"/>
      <c r="G21" s="106"/>
      <c r="H21" s="106"/>
      <c r="I21" s="106"/>
      <c r="J21" s="106"/>
      <c r="K21" s="106"/>
      <c r="L21" s="106"/>
      <c r="M21" s="106"/>
      <c r="N21" s="108"/>
      <c r="O21" s="108"/>
    </row>
    <row r="22" customFormat="false" ht="18.75" hidden="false" customHeight="true" outlineLevel="0" collapsed="false">
      <c r="B22" s="109" t="s">
        <v>121</v>
      </c>
      <c r="C22" s="109" t="s">
        <v>122</v>
      </c>
      <c r="D22" s="109" t="s">
        <v>123</v>
      </c>
      <c r="E22" s="109" t="s">
        <v>124</v>
      </c>
      <c r="F22" s="106"/>
      <c r="G22" s="106"/>
      <c r="H22" s="108"/>
      <c r="I22" s="108"/>
      <c r="J22" s="106"/>
      <c r="K22" s="106"/>
      <c r="L22" s="106"/>
      <c r="M22" s="106"/>
      <c r="N22" s="108"/>
      <c r="O22" s="108"/>
    </row>
    <row r="23" customFormat="false" ht="18.75" hidden="false" customHeight="true" outlineLevel="0" collapsed="false">
      <c r="B23" s="49" t="s">
        <v>125</v>
      </c>
      <c r="C23" s="110" t="s">
        <v>126</v>
      </c>
      <c r="D23" s="49" t="s">
        <v>127</v>
      </c>
      <c r="E23" s="111" t="n">
        <f aca="false">'Comp. Veículo'!D11</f>
        <v>52.49</v>
      </c>
      <c r="F23" s="106"/>
      <c r="G23" s="106"/>
      <c r="H23" s="112"/>
      <c r="I23" s="112"/>
      <c r="J23" s="106"/>
      <c r="K23" s="106"/>
      <c r="L23" s="106"/>
      <c r="M23" s="106"/>
      <c r="N23" s="108"/>
      <c r="O23" s="108"/>
    </row>
    <row r="24" customFormat="false" ht="18.75" hidden="false" customHeight="true" outlineLevel="0" collapsed="false">
      <c r="B24" s="113" t="s">
        <v>128</v>
      </c>
      <c r="C24" s="114" t="s">
        <v>126</v>
      </c>
      <c r="D24" s="113" t="s">
        <v>129</v>
      </c>
      <c r="E24" s="115" t="n">
        <f aca="false">'Comp. Veículo'!D27</f>
        <v>6.56</v>
      </c>
      <c r="F24" s="106"/>
      <c r="G24" s="106"/>
      <c r="H24" s="112"/>
      <c r="I24" s="112"/>
      <c r="J24" s="106"/>
      <c r="K24" s="106"/>
      <c r="L24" s="106"/>
      <c r="M24" s="106"/>
      <c r="N24" s="108"/>
      <c r="O24" s="108"/>
    </row>
    <row r="25" customFormat="false" ht="47.25" hidden="false" customHeight="true" outlineLevel="0" collapsed="false">
      <c r="B25" s="116" t="s">
        <v>130</v>
      </c>
      <c r="C25" s="116"/>
      <c r="D25" s="116"/>
      <c r="E25" s="116"/>
      <c r="F25" s="117"/>
      <c r="G25" s="117"/>
      <c r="H25" s="117"/>
      <c r="I25" s="117"/>
      <c r="J25" s="117"/>
      <c r="K25" s="117"/>
      <c r="L25" s="117"/>
      <c r="M25" s="106"/>
      <c r="N25" s="108"/>
      <c r="O25" s="108"/>
    </row>
    <row r="26" customFormat="false" ht="16.5" hidden="false" customHeight="true" outlineLevel="0" collapsed="false">
      <c r="B26" s="118"/>
      <c r="C26" s="118"/>
      <c r="D26" s="118"/>
      <c r="E26" s="118"/>
      <c r="F26" s="117"/>
      <c r="G26" s="117"/>
      <c r="H26" s="117"/>
      <c r="I26" s="117"/>
      <c r="J26" s="117"/>
      <c r="K26" s="117"/>
      <c r="L26" s="117"/>
      <c r="M26" s="106"/>
      <c r="N26" s="108"/>
      <c r="O26" s="108"/>
    </row>
    <row r="27" customFormat="false" ht="16.5" hidden="false" customHeight="true" outlineLevel="0" collapsed="false">
      <c r="B27" s="107" t="s">
        <v>131</v>
      </c>
      <c r="C27" s="107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8"/>
      <c r="O27" s="108"/>
    </row>
    <row r="28" customFormat="false" ht="16.5" hidden="false" customHeight="true" outlineLevel="0" collapsed="false">
      <c r="B28" s="49" t="s">
        <v>127</v>
      </c>
      <c r="C28" s="111" t="n">
        <f aca="false">E23*L19</f>
        <v>345.559166666667</v>
      </c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8"/>
      <c r="O28" s="108"/>
    </row>
    <row r="29" customFormat="false" ht="16.5" hidden="false" customHeight="true" outlineLevel="0" collapsed="false">
      <c r="B29" s="49" t="s">
        <v>129</v>
      </c>
      <c r="C29" s="111" t="n">
        <f aca="false">E24*('Base Porto Alegre'!N21/12)</f>
        <v>555.768666666667</v>
      </c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8"/>
      <c r="O29" s="108"/>
    </row>
    <row r="30" customFormat="false" ht="16.5" hidden="false" customHeight="true" outlineLevel="0" collapsed="false">
      <c r="B30" s="119" t="s">
        <v>28</v>
      </c>
      <c r="C30" s="120" t="n">
        <f aca="false">C28+C29</f>
        <v>901.327833333334</v>
      </c>
      <c r="D30" s="106"/>
      <c r="E30" s="106"/>
      <c r="F30" s="106"/>
      <c r="G30" s="106"/>
      <c r="H30" s="106"/>
      <c r="I30" s="106"/>
      <c r="M30" s="106"/>
      <c r="N30" s="108"/>
      <c r="O30" s="108"/>
    </row>
    <row r="31" customFormat="false" ht="16.5" hidden="false" customHeight="true" outlineLevel="0" collapsed="false">
      <c r="B31" s="106"/>
      <c r="C31" s="121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8"/>
      <c r="O31" s="108"/>
    </row>
  </sheetData>
  <mergeCells count="90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7:B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B19:F19"/>
    <mergeCell ref="H19:J19"/>
    <mergeCell ref="B21:E21"/>
    <mergeCell ref="B25:E25"/>
    <mergeCell ref="B27:C27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BN65526"/>
  <sheetViews>
    <sheetView showFormulas="false" showGridLines="false" showRowColHeaders="true" showZeros="true" rightToLeft="false" tabSelected="false" showOutlineSymbols="true" defaultGridColor="true" view="normal" topLeftCell="AL1" colorId="64" zoomScale="110" zoomScaleNormal="110" zoomScalePageLayoutView="100" workbookViewId="0">
      <selection pane="topLeft" activeCell="AP6" activeCellId="0" sqref="AP6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7" width="33.62"/>
    <col collapsed="false" customWidth="true" hidden="false" outlineLevel="0" max="15" min="3" style="17" width="12.62"/>
    <col collapsed="false" customWidth="true" hidden="false" outlineLevel="0" max="16" min="16" style="17" width="9.62"/>
    <col collapsed="false" customWidth="true" hidden="false" outlineLevel="0" max="17" min="17" style="17" width="33.62"/>
    <col collapsed="false" customWidth="true" hidden="false" outlineLevel="0" max="33" min="18" style="17" width="11.5"/>
    <col collapsed="false" customWidth="true" hidden="false" outlineLevel="0" max="34" min="34" style="17" width="11"/>
    <col collapsed="false" customWidth="true" hidden="false" outlineLevel="0" max="35" min="35" style="17" width="33.62"/>
    <col collapsed="false" customWidth="true" hidden="false" outlineLevel="0" max="40" min="36" style="17" width="10.75"/>
    <col collapsed="false" customWidth="true" hidden="false" outlineLevel="0" max="41" min="41" style="17" width="14.5"/>
    <col collapsed="false" customWidth="true" hidden="false" outlineLevel="0" max="42" min="42" style="17" width="12.5"/>
    <col collapsed="false" customWidth="true" hidden="false" outlineLevel="0" max="43" min="43" style="17" width="14.25"/>
    <col collapsed="false" customWidth="true" hidden="false" outlineLevel="0" max="44" min="44" style="17" width="2.62"/>
    <col collapsed="false" customWidth="true" hidden="false" outlineLevel="0" max="45" min="45" style="17" width="28.12"/>
    <col collapsed="false" customWidth="true" hidden="false" outlineLevel="0" max="46" min="46" style="17" width="12.76"/>
    <col collapsed="false" customWidth="true" hidden="false" outlineLevel="0" max="49" min="47" style="17" width="11.75"/>
    <col collapsed="false" customWidth="true" hidden="false" outlineLevel="0" max="66" min="50" style="17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2" customFormat="true" ht="24.75" hidden="false" customHeight="true" outlineLevel="0" collapsed="false">
      <c r="B2" s="53" t="str">
        <f aca="false">"BASE "&amp;Resumo!B6&amp;" - PLANILHA DE FORMAÇÃO DE PREÇOS"</f>
        <v>BASE PELOTAS - PLANILHA DE FORMAÇÃO DE PREÇOS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4"/>
      <c r="Q2" s="43" t="str">
        <f aca="false">"BASE "&amp;Resumo!B6&amp;" – PLANILHA DE DISTRIBUIÇÃO DE CUSTOS POR UNIDADE"</f>
        <v>BASE PELOTAS – PLANILHA DE DISTRIBUIÇÃO DE CUSTOS POR UNIDADE</v>
      </c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4"/>
      <c r="AI2" s="56" t="str">
        <f aca="false">"BASE "&amp;Resumo!B6&amp;" – PLANILHA RESUMO DE CUSTOS DA BASE"</f>
        <v>BASE PELOTAS – PLANILHA RESUMO DE CUSTOS DA BASE</v>
      </c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</row>
    <row r="3" customFormat="false" ht="15" hidden="false" customHeight="true" outlineLevel="0" collapsed="false">
      <c r="B3" s="52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</row>
    <row r="4" customFormat="false" ht="19.5" hidden="false" customHeight="true" outlineLevel="0" collapsed="false">
      <c r="B4" s="46" t="s">
        <v>41</v>
      </c>
      <c r="C4" s="46" t="s">
        <v>42</v>
      </c>
      <c r="D4" s="46"/>
      <c r="E4" s="46"/>
      <c r="F4" s="46"/>
      <c r="G4" s="46"/>
      <c r="H4" s="46" t="s">
        <v>43</v>
      </c>
      <c r="I4" s="46"/>
      <c r="J4" s="46"/>
      <c r="K4" s="46"/>
      <c r="L4" s="46"/>
      <c r="M4" s="46"/>
      <c r="N4" s="46"/>
      <c r="O4" s="46" t="s">
        <v>28</v>
      </c>
      <c r="P4" s="54"/>
      <c r="Q4" s="46" t="s">
        <v>44</v>
      </c>
      <c r="R4" s="57" t="s">
        <v>45</v>
      </c>
      <c r="S4" s="57"/>
      <c r="T4" s="57"/>
      <c r="U4" s="57"/>
      <c r="V4" s="57" t="s">
        <v>46</v>
      </c>
      <c r="W4" s="57"/>
      <c r="X4" s="57"/>
      <c r="Y4" s="57"/>
      <c r="Z4" s="57" t="s">
        <v>47</v>
      </c>
      <c r="AA4" s="57"/>
      <c r="AB4" s="57"/>
      <c r="AC4" s="57"/>
      <c r="AD4" s="57" t="s">
        <v>48</v>
      </c>
      <c r="AE4" s="57"/>
      <c r="AF4" s="57"/>
      <c r="AG4" s="57"/>
      <c r="AH4" s="55"/>
      <c r="AI4" s="46" t="s">
        <v>44</v>
      </c>
      <c r="AJ4" s="58" t="s">
        <v>49</v>
      </c>
      <c r="AK4" s="58"/>
      <c r="AL4" s="58"/>
      <c r="AM4" s="58"/>
      <c r="AN4" s="58"/>
      <c r="AO4" s="58" t="s">
        <v>50</v>
      </c>
      <c r="AP4" s="58"/>
      <c r="AQ4" s="58"/>
      <c r="AR4" s="59"/>
      <c r="AS4" s="58" t="str">
        <f aca="false">"Resumo de Custos da Base "&amp;Resumo!B6</f>
        <v>Resumo de Custos da Base PELOTAS</v>
      </c>
      <c r="AT4" s="58"/>
      <c r="AU4" s="58"/>
      <c r="AV4" s="58"/>
      <c r="AW4" s="58"/>
    </row>
    <row r="5" customFormat="false" ht="39.75" hidden="false" customHeight="true" outlineLevel="0" collapsed="false">
      <c r="B5" s="46"/>
      <c r="C5" s="46" t="s">
        <v>28</v>
      </c>
      <c r="D5" s="46" t="s">
        <v>51</v>
      </c>
      <c r="E5" s="46" t="s">
        <v>52</v>
      </c>
      <c r="F5" s="46" t="s">
        <v>53</v>
      </c>
      <c r="G5" s="46" t="s">
        <v>54</v>
      </c>
      <c r="H5" s="46" t="s">
        <v>55</v>
      </c>
      <c r="I5" s="46" t="s">
        <v>56</v>
      </c>
      <c r="J5" s="46" t="s">
        <v>57</v>
      </c>
      <c r="K5" s="46" t="s">
        <v>58</v>
      </c>
      <c r="L5" s="46" t="s">
        <v>59</v>
      </c>
      <c r="M5" s="46" t="s">
        <v>60</v>
      </c>
      <c r="N5" s="46" t="s">
        <v>61</v>
      </c>
      <c r="O5" s="46"/>
      <c r="P5" s="54"/>
      <c r="Q5" s="46"/>
      <c r="R5" s="46" t="s">
        <v>62</v>
      </c>
      <c r="S5" s="46" t="s">
        <v>63</v>
      </c>
      <c r="T5" s="46" t="s">
        <v>64</v>
      </c>
      <c r="U5" s="46" t="s">
        <v>65</v>
      </c>
      <c r="V5" s="46" t="s">
        <v>66</v>
      </c>
      <c r="W5" s="46" t="s">
        <v>67</v>
      </c>
      <c r="X5" s="46" t="s">
        <v>68</v>
      </c>
      <c r="Y5" s="46" t="s">
        <v>69</v>
      </c>
      <c r="Z5" s="46" t="s">
        <v>70</v>
      </c>
      <c r="AA5" s="46"/>
      <c r="AB5" s="46"/>
      <c r="AC5" s="46" t="n">
        <f aca="false">N16+'Base Porto Alegre'!N21</f>
        <v>1344.2</v>
      </c>
      <c r="AD5" s="57" t="s">
        <v>62</v>
      </c>
      <c r="AE5" s="57" t="s">
        <v>63</v>
      </c>
      <c r="AF5" s="57" t="s">
        <v>64</v>
      </c>
      <c r="AG5" s="57" t="s">
        <v>65</v>
      </c>
      <c r="AH5" s="42"/>
      <c r="AI5" s="46"/>
      <c r="AJ5" s="57" t="s">
        <v>71</v>
      </c>
      <c r="AK5" s="57" t="s">
        <v>62</v>
      </c>
      <c r="AL5" s="57" t="s">
        <v>63</v>
      </c>
      <c r="AM5" s="57" t="s">
        <v>64</v>
      </c>
      <c r="AN5" s="57" t="s">
        <v>65</v>
      </c>
      <c r="AO5" s="57" t="s">
        <v>72</v>
      </c>
      <c r="AP5" s="57" t="s">
        <v>73</v>
      </c>
      <c r="AQ5" s="57" t="s">
        <v>74</v>
      </c>
      <c r="AR5" s="55"/>
      <c r="AS5" s="57" t="s">
        <v>75</v>
      </c>
      <c r="AT5" s="57" t="s">
        <v>62</v>
      </c>
      <c r="AU5" s="57" t="s">
        <v>63</v>
      </c>
      <c r="AV5" s="57" t="s">
        <v>64</v>
      </c>
      <c r="AW5" s="57" t="s">
        <v>65</v>
      </c>
    </row>
    <row r="6" customFormat="false" ht="19.5" hidden="false" customHeight="true" outlineLevel="0" collapsed="false">
      <c r="B6" s="46"/>
      <c r="C6" s="60" t="s">
        <v>76</v>
      </c>
      <c r="D6" s="60" t="n">
        <v>1</v>
      </c>
      <c r="E6" s="60" t="n">
        <v>0.35</v>
      </c>
      <c r="F6" s="60" t="n">
        <v>0.1</v>
      </c>
      <c r="G6" s="46"/>
      <c r="H6" s="60" t="n">
        <v>1</v>
      </c>
      <c r="I6" s="60" t="n">
        <v>1.2</v>
      </c>
      <c r="J6" s="60" t="n">
        <v>2</v>
      </c>
      <c r="K6" s="60" t="n">
        <v>4</v>
      </c>
      <c r="L6" s="60" t="n">
        <v>1.1</v>
      </c>
      <c r="M6" s="60" t="n">
        <v>1.1</v>
      </c>
      <c r="N6" s="46"/>
      <c r="O6" s="46"/>
      <c r="P6" s="61"/>
      <c r="Q6" s="46"/>
      <c r="R6" s="60" t="s">
        <v>77</v>
      </c>
      <c r="S6" s="60" t="s">
        <v>78</v>
      </c>
      <c r="T6" s="60" t="s">
        <v>79</v>
      </c>
      <c r="U6" s="60" t="s">
        <v>80</v>
      </c>
      <c r="V6" s="46"/>
      <c r="W6" s="46"/>
      <c r="X6" s="46"/>
      <c r="Y6" s="46"/>
      <c r="Z6" s="36" t="s">
        <v>62</v>
      </c>
      <c r="AA6" s="36" t="s">
        <v>63</v>
      </c>
      <c r="AB6" s="36" t="s">
        <v>64</v>
      </c>
      <c r="AC6" s="36" t="s">
        <v>65</v>
      </c>
      <c r="AD6" s="57"/>
      <c r="AE6" s="57"/>
      <c r="AF6" s="57"/>
      <c r="AG6" s="57"/>
      <c r="AH6" s="55"/>
      <c r="AI6" s="46"/>
      <c r="AJ6" s="57"/>
      <c r="AK6" s="57"/>
      <c r="AL6" s="57"/>
      <c r="AM6" s="57"/>
      <c r="AN6" s="57"/>
      <c r="AO6" s="57"/>
      <c r="AP6" s="57" t="n">
        <f aca="false">'Base Porto Alegre'!AP6</f>
        <v>2.63636363636364</v>
      </c>
      <c r="AQ6" s="57"/>
      <c r="AR6" s="62"/>
      <c r="AS6" s="57"/>
      <c r="AT6" s="36" t="s">
        <v>77</v>
      </c>
      <c r="AU6" s="36" t="s">
        <v>78</v>
      </c>
      <c r="AV6" s="36" t="s">
        <v>79</v>
      </c>
      <c r="AW6" s="36" t="s">
        <v>80</v>
      </c>
    </row>
    <row r="7" customFormat="false" ht="15" hidden="false" customHeight="true" outlineLevel="0" collapsed="false">
      <c r="B7" s="23" t="s">
        <v>132</v>
      </c>
      <c r="C7" s="64" t="n">
        <f aca="false">VLOOKUP($B7,Unidades!$D$5:$N$27,6,FALSE())</f>
        <v>1011.72</v>
      </c>
      <c r="D7" s="64" t="n">
        <f aca="false">VLOOKUP($B7,Unidades!$D$5:$N$27,7,FALSE())</f>
        <v>492.6</v>
      </c>
      <c r="E7" s="64" t="n">
        <f aca="false">VLOOKUP($B7,Unidades!$D$5:$N$27,8,FALSE())</f>
        <v>501.82</v>
      </c>
      <c r="F7" s="64" t="n">
        <f aca="false">VLOOKUP($B7,Unidades!$D$5:$N$27,9,FALSE())</f>
        <v>17.3</v>
      </c>
      <c r="G7" s="64" t="n">
        <f aca="false">D7+$E$6*E7+$F$6*F7</f>
        <v>669.967</v>
      </c>
      <c r="H7" s="65" t="n">
        <f aca="false">IF(G7&lt;750,1.5,IF(G7&lt;2000,2,IF(G7&lt;4000,3,12)))</f>
        <v>1.5</v>
      </c>
      <c r="I7" s="65" t="n">
        <f aca="false">$I$6*H7</f>
        <v>1.8</v>
      </c>
      <c r="J7" s="65" t="str">
        <f aca="false">VLOOKUP($B7,Unidades!$D$5:$N$27,10,FALSE())</f>
        <v>NÃO</v>
      </c>
      <c r="K7" s="65" t="str">
        <f aca="false">VLOOKUP($B7,Unidades!$D$5:$N$27,11,FALSE())</f>
        <v>SIM</v>
      </c>
      <c r="L7" s="65" t="n">
        <f aca="false">$L$6*H7+(IF(J7="SIM",$J$6,0))</f>
        <v>1.65</v>
      </c>
      <c r="M7" s="65" t="n">
        <f aca="false">$M$6*H7+(IF(J7="SIM",$J$6,0))+(IF(K7="SIM",$K$6,0))</f>
        <v>5.65</v>
      </c>
      <c r="N7" s="65" t="n">
        <f aca="false">H7*12+I7*4+L7*2+M7</f>
        <v>34.15</v>
      </c>
      <c r="O7" s="66" t="n">
        <f aca="false">IF(K7="não", N7*(C$19+D$19),N7*(C$19+D$19)+(M7*+E$19))</f>
        <v>2021.5056318</v>
      </c>
      <c r="P7" s="67"/>
      <c r="Q7" s="23" t="str">
        <f aca="false">B7</f>
        <v>APS CAMAQUÃ</v>
      </c>
      <c r="R7" s="25" t="n">
        <f aca="false">H7*($C$19+$D$19)</f>
        <v>79.816038</v>
      </c>
      <c r="S7" s="25" t="n">
        <f aca="false">I7*($C$19+$D$19)</f>
        <v>95.7792456</v>
      </c>
      <c r="T7" s="25" t="n">
        <f aca="false">L7*($C$19+$D$19)</f>
        <v>87.7976418</v>
      </c>
      <c r="U7" s="25" t="n">
        <f aca="false">IF(K7="não",M7*($C$19+$D$19),M7*(C$19+D$19+E$19))</f>
        <v>505.0009098</v>
      </c>
      <c r="V7" s="25" t="n">
        <f aca="false">VLOOKUP(Q7,'Desl. Base Pelotas'!$C$5:$S$13,13,FALSE())*($C$19+$D$19+$E$19*(VLOOKUP(Q7,'Desl. Base Pelotas'!$C$5:$S$13,17,FALSE())/12))</f>
        <v>154.149820844444</v>
      </c>
      <c r="W7" s="25" t="n">
        <f aca="false">VLOOKUP(Q7,'Desl. Base Pelotas'!$C$5:$S$13,15,FALSE())*(2+(VLOOKUP(Q7,'Desl. Base Pelotas'!$C$5:$S$13,17,FALSE())/12))</f>
        <v>290.416666666667</v>
      </c>
      <c r="X7" s="25" t="n">
        <f aca="false">VLOOKUP(Q7,'Desl. Base Pelotas'!$C$5:$Q$13,14,FALSE())</f>
        <v>39.2</v>
      </c>
      <c r="Y7" s="25" t="n">
        <f aca="false">VLOOKUP(Q7,'Desl. Base Pelotas'!$C$5:Q$13,13,FALSE())*'Desl. Base Pelotas'!$E$18+'Desl. Base Pelotas'!$E$19*N7/12</f>
        <v>162.57875</v>
      </c>
      <c r="Z7" s="25" t="n">
        <f aca="false">(H7/$AC$5)*'Equipe Técnica'!$C$13</f>
        <v>220.997863127511</v>
      </c>
      <c r="AA7" s="25" t="n">
        <f aca="false">(I7/$AC$5)*'Equipe Técnica'!$C$13</f>
        <v>265.197435753013</v>
      </c>
      <c r="AB7" s="25" t="n">
        <f aca="false">(L7/$AC$5)*'Equipe Técnica'!$C$13</f>
        <v>243.097649440262</v>
      </c>
      <c r="AC7" s="25" t="n">
        <f aca="false">(M7/$AC$5)*'Equipe Técnica'!$C$13</f>
        <v>832.425284446957</v>
      </c>
      <c r="AD7" s="25" t="n">
        <f aca="false">R7+(($V7+$W7+$X7+$Y7)*12/19)+$Z7</f>
        <v>709.031945871371</v>
      </c>
      <c r="AE7" s="25" t="n">
        <f aca="false">S7+(($V7+$W7+$X7+$Y7)*12/19)+$AA7</f>
        <v>769.194726096873</v>
      </c>
      <c r="AF7" s="25" t="n">
        <f aca="false">T7+(($V7+$W7+$X7+$Y7)*12/19)+$AB7</f>
        <v>739.113335984122</v>
      </c>
      <c r="AG7" s="25" t="n">
        <f aca="false">U7+(($V7+$W7+$X7+$Y7)*12/19)+$AC7</f>
        <v>1745.64423899082</v>
      </c>
      <c r="AH7" s="122"/>
      <c r="AI7" s="23" t="str">
        <f aca="false">B7</f>
        <v>APS CAMAQUÃ</v>
      </c>
      <c r="AJ7" s="68" t="n">
        <f aca="false">VLOOKUP(AI7,Unidades!D$5:H$27,5,)</f>
        <v>0.2223</v>
      </c>
      <c r="AK7" s="47" t="n">
        <f aca="false">AD7*(1+$AJ7)</f>
        <v>866.649747438576</v>
      </c>
      <c r="AL7" s="47" t="n">
        <f aca="false">AE7*(1+$AJ7)</f>
        <v>940.186713708207</v>
      </c>
      <c r="AM7" s="47" t="n">
        <f aca="false">AF7*(1+$AJ7)</f>
        <v>903.418230573392</v>
      </c>
      <c r="AN7" s="47" t="n">
        <f aca="false">AG7*(1+$AJ7)</f>
        <v>2133.70095331848</v>
      </c>
      <c r="AO7" s="47" t="n">
        <f aca="false">((AK7*12)+(AL7*4)+(AM7*2)+AN7)/12</f>
        <v>1508.42343654675</v>
      </c>
      <c r="AP7" s="47" t="n">
        <f aca="false">AO7*$AP$6</f>
        <v>3976.75269635052</v>
      </c>
      <c r="AQ7" s="47" t="n">
        <f aca="false">AO7+AP7</f>
        <v>5485.17613289727</v>
      </c>
      <c r="AR7" s="69"/>
      <c r="AS7" s="70" t="s">
        <v>82</v>
      </c>
      <c r="AT7" s="47" t="n">
        <f aca="false">AK16</f>
        <v>6800.24500782425</v>
      </c>
      <c r="AU7" s="47" t="n">
        <f aca="false">AL16</f>
        <v>7565.92467919817</v>
      </c>
      <c r="AV7" s="47" t="n">
        <f aca="false">AM16</f>
        <v>7183.08484351122</v>
      </c>
      <c r="AW7" s="47" t="n">
        <f aca="false">AN16</f>
        <v>12235.9295590102</v>
      </c>
    </row>
    <row r="8" customFormat="false" ht="15" hidden="false" customHeight="true" outlineLevel="0" collapsed="false">
      <c r="B8" s="23" t="s">
        <v>133</v>
      </c>
      <c r="C8" s="64" t="n">
        <f aca="false">VLOOKUP($B8,Unidades!$D$5:$N$27,6,FALSE())</f>
        <v>334.4</v>
      </c>
      <c r="D8" s="64" t="n">
        <f aca="false">VLOOKUP($B8,Unidades!$D$5:$N$27,7,FALSE())</f>
        <v>296</v>
      </c>
      <c r="E8" s="64" t="n">
        <f aca="false">VLOOKUP($B8,Unidades!$D$5:$N$27,8,FALSE())</f>
        <v>38.4</v>
      </c>
      <c r="F8" s="64" t="n">
        <f aca="false">VLOOKUP($B8,Unidades!$D$5:$N$27,9,FALSE())</f>
        <v>0</v>
      </c>
      <c r="G8" s="64" t="n">
        <f aca="false">D8+$E$6*E8+$F$6*F8</f>
        <v>309.44</v>
      </c>
      <c r="H8" s="65" t="n">
        <f aca="false">IF(G8&lt;750,1.5,IF(G8&lt;2000,2,IF(G8&lt;4000,3,12)))</f>
        <v>1.5</v>
      </c>
      <c r="I8" s="65" t="n">
        <f aca="false">$I$6*H8</f>
        <v>1.8</v>
      </c>
      <c r="J8" s="65" t="str">
        <f aca="false">VLOOKUP($B8,Unidades!$D$5:$N$27,10,FALSE())</f>
        <v>NÃO</v>
      </c>
      <c r="K8" s="65" t="str">
        <f aca="false">VLOOKUP($B8,Unidades!$D$5:$N$27,11,FALSE())</f>
        <v>NÃO</v>
      </c>
      <c r="L8" s="65" t="n">
        <f aca="false">$L$6*H8+(IF(J8="SIM",$J$6,0))</f>
        <v>1.65</v>
      </c>
      <c r="M8" s="65" t="n">
        <f aca="false">$M$6*H8+(IF(J8="SIM",$J$6,0))+(IF(K8="SIM",$K$6,0))</f>
        <v>1.65</v>
      </c>
      <c r="N8" s="65" t="n">
        <f aca="false">H8*12+I8*4+L8*2+M8</f>
        <v>30.15</v>
      </c>
      <c r="O8" s="66" t="n">
        <f aca="false">IF(K8="não", N8*(C$19+D$19),N8*(C$19+D$19)+(M8*+E$19))</f>
        <v>1604.3023638</v>
      </c>
      <c r="P8" s="67"/>
      <c r="Q8" s="23" t="str">
        <f aca="false">B8</f>
        <v>APS CAPÃO DO LEÃO</v>
      </c>
      <c r="R8" s="25" t="n">
        <f aca="false">H8*($C$19+$D$19)</f>
        <v>79.816038</v>
      </c>
      <c r="S8" s="25" t="n">
        <f aca="false">I8*($C$19+$D$19)</f>
        <v>95.7792456</v>
      </c>
      <c r="T8" s="25" t="n">
        <f aca="false">L8*($C$19+$D$19)</f>
        <v>87.7976418</v>
      </c>
      <c r="U8" s="25" t="n">
        <f aca="false">IF(K8="não",M8*($C$19+$D$19),M8*(C$19+D$19+E$19))</f>
        <v>87.7976418</v>
      </c>
      <c r="V8" s="25" t="n">
        <f aca="false">VLOOKUP(Q8,'Desl. Base Pelotas'!$C$5:$S$13,13,FALSE())*($C$19+$D$19+$E$19*(VLOOKUP(Q8,'Desl. Base Pelotas'!$C$5:$S$13,17,FALSE())/12))</f>
        <v>22.9584839555556</v>
      </c>
      <c r="W8" s="25" t="n">
        <f aca="false">VLOOKUP(Q8,'Desl. Base Pelotas'!$C$5:$S$13,15,FALSE())*(2+(VLOOKUP(Q8,'Desl. Base Pelotas'!$C$5:$S$13,17,FALSE())/12))</f>
        <v>0</v>
      </c>
      <c r="X8" s="25" t="n">
        <f aca="false">VLOOKUP(Q8,'Desl. Base Pelotas'!$C$5:$Q$13,14,FALSE())</f>
        <v>0</v>
      </c>
      <c r="Y8" s="25" t="n">
        <f aca="false">VLOOKUP(Q8,'Desl. Base Pelotas'!$C$5:Q$13,13,FALSE())*'Desl. Base Pelotas'!$E$18+'Desl. Base Pelotas'!$E$19*N8/12</f>
        <v>37.9154166666667</v>
      </c>
      <c r="Z8" s="25" t="n">
        <f aca="false">(H8/$AC$5)*'Equipe Técnica'!$C$13</f>
        <v>220.997863127511</v>
      </c>
      <c r="AA8" s="25" t="n">
        <f aca="false">(I8/$AC$5)*'Equipe Técnica'!$C$13</f>
        <v>265.197435753013</v>
      </c>
      <c r="AB8" s="25" t="n">
        <f aca="false">(L8/$AC$5)*'Equipe Técnica'!$C$13</f>
        <v>243.097649440262</v>
      </c>
      <c r="AC8" s="25" t="n">
        <f aca="false">(M8/$AC$5)*'Equipe Técnica'!$C$13</f>
        <v>243.097649440262</v>
      </c>
      <c r="AD8" s="25" t="n">
        <f aca="false">R8+(($V8+$W8+$X8+$Y8)*12/19)+$Z8</f>
        <v>339.260575204704</v>
      </c>
      <c r="AE8" s="25" t="n">
        <f aca="false">S8+(($V8+$W8+$X8+$Y8)*12/19)+$AA8</f>
        <v>399.423355430206</v>
      </c>
      <c r="AF8" s="25" t="n">
        <f aca="false">T8+(($V8+$W8+$X8+$Y8)*12/19)+$AB8</f>
        <v>369.341965317455</v>
      </c>
      <c r="AG8" s="25" t="n">
        <f aca="false">U8+(($V8+$W8+$X8+$Y8)*12/19)+$AC8</f>
        <v>369.341965317455</v>
      </c>
      <c r="AH8" s="122"/>
      <c r="AI8" s="23" t="str">
        <f aca="false">B8</f>
        <v>APS CAPÃO DO LEÃO</v>
      </c>
      <c r="AJ8" s="68" t="n">
        <f aca="false">VLOOKUP(AI8,Unidades!D$5:H$27,5,)</f>
        <v>0.2223</v>
      </c>
      <c r="AK8" s="47" t="n">
        <f aca="false">AD8*(1+$AJ8)</f>
        <v>414.678201072709</v>
      </c>
      <c r="AL8" s="47" t="n">
        <f aca="false">AE8*(1+$AJ8)</f>
        <v>488.215167342341</v>
      </c>
      <c r="AM8" s="47" t="n">
        <f aca="false">AF8*(1+$AJ8)</f>
        <v>451.446684207525</v>
      </c>
      <c r="AN8" s="47" t="n">
        <f aca="false">AG8*(1+$AJ8)</f>
        <v>451.446684207525</v>
      </c>
      <c r="AO8" s="47" t="n">
        <f aca="false">((AK8*12)+(AL8*4)+(AM8*2)+AN8)/12</f>
        <v>690.278261238704</v>
      </c>
      <c r="AP8" s="47" t="n">
        <f aca="false">AO8*$AP$6</f>
        <v>1819.82450690204</v>
      </c>
      <c r="AQ8" s="47" t="n">
        <f aca="false">AO8+AP8</f>
        <v>2510.10276814074</v>
      </c>
      <c r="AR8" s="69"/>
      <c r="AS8" s="70" t="s">
        <v>84</v>
      </c>
      <c r="AT8" s="47" t="n">
        <f aca="false">AT7*12</f>
        <v>81602.940093891</v>
      </c>
      <c r="AU8" s="47" t="n">
        <f aca="false">AU7*4</f>
        <v>30263.6987167927</v>
      </c>
      <c r="AV8" s="47" t="n">
        <f aca="false">AV7*2</f>
        <v>14366.1696870224</v>
      </c>
      <c r="AW8" s="47" t="n">
        <f aca="false">AW7</f>
        <v>12235.9295590102</v>
      </c>
    </row>
    <row r="9" customFormat="false" ht="15" hidden="false" customHeight="true" outlineLevel="0" collapsed="false">
      <c r="B9" s="23" t="s">
        <v>134</v>
      </c>
      <c r="C9" s="64" t="n">
        <f aca="false">VLOOKUP($B9,Unidades!$D$5:$N$27,6,FALSE())</f>
        <v>1001.58</v>
      </c>
      <c r="D9" s="64" t="n">
        <f aca="false">VLOOKUP($B9,Unidades!$D$5:$N$27,7,FALSE())</f>
        <v>528.18</v>
      </c>
      <c r="E9" s="64" t="n">
        <f aca="false">VLOOKUP($B9,Unidades!$D$5:$N$27,8,FALSE())</f>
        <v>0</v>
      </c>
      <c r="F9" s="64" t="n">
        <f aca="false">VLOOKUP($B9,Unidades!$D$5:$N$27,9,FALSE())</f>
        <v>1152.36</v>
      </c>
      <c r="G9" s="64" t="n">
        <f aca="false">D9+$E$6*E9+$F$6*F9</f>
        <v>643.416</v>
      </c>
      <c r="H9" s="65" t="n">
        <f aca="false">IF(G9&lt;750,1.5,IF(G9&lt;2000,2,IF(G9&lt;4000,3,12)))</f>
        <v>1.5</v>
      </c>
      <c r="I9" s="65" t="n">
        <f aca="false">$I$6*H9</f>
        <v>1.8</v>
      </c>
      <c r="J9" s="65" t="str">
        <f aca="false">VLOOKUP($B9,Unidades!$D$5:$N$27,10,FALSE())</f>
        <v>NÃO</v>
      </c>
      <c r="K9" s="65" t="str">
        <f aca="false">VLOOKUP($B9,Unidades!$D$5:$N$27,11,FALSE())</f>
        <v>SIM</v>
      </c>
      <c r="L9" s="65" t="n">
        <f aca="false">$L$6*H9+(IF(J9="SIM",$J$6,0))</f>
        <v>1.65</v>
      </c>
      <c r="M9" s="65" t="n">
        <f aca="false">$M$6*H9+(IF(J9="SIM",$J$6,0))+(IF(K9="SIM",$K$6,0))</f>
        <v>5.65</v>
      </c>
      <c r="N9" s="65" t="n">
        <f aca="false">H9*12+I9*4+L9*2+M9</f>
        <v>34.15</v>
      </c>
      <c r="O9" s="66" t="n">
        <f aca="false">IF(K9="não", N9*(C$19+D$19),N9*(C$19+D$19)+(M9*+E$19))</f>
        <v>2021.5056318</v>
      </c>
      <c r="P9" s="67"/>
      <c r="Q9" s="23" t="str">
        <f aca="false">B9</f>
        <v>APS JAGUARÃO</v>
      </c>
      <c r="R9" s="25" t="n">
        <f aca="false">H9*($C$19+$D$19)</f>
        <v>79.816038</v>
      </c>
      <c r="S9" s="25" t="n">
        <f aca="false">I9*($C$19+$D$19)</f>
        <v>95.7792456</v>
      </c>
      <c r="T9" s="25" t="n">
        <f aca="false">L9*($C$19+$D$19)</f>
        <v>87.7976418</v>
      </c>
      <c r="U9" s="25" t="n">
        <f aca="false">IF(K9="não",M9*($C$19+$D$19),M9*(C$19+D$19+E$19))</f>
        <v>505.0009098</v>
      </c>
      <c r="V9" s="25" t="n">
        <f aca="false">VLOOKUP(Q9,'Desl. Base Pelotas'!$C$5:$S$13,13,FALSE())*($C$19+$D$19+$E$19*(VLOOKUP(Q9,'Desl. Base Pelotas'!$C$5:$S$13,17,FALSE())/12))</f>
        <v>193.9757624</v>
      </c>
      <c r="W9" s="25" t="n">
        <f aca="false">VLOOKUP(Q9,'Desl. Base Pelotas'!$C$5:$S$13,15,FALSE())*(2+(VLOOKUP(Q9,'Desl. Base Pelotas'!$C$5:$S$13,17,FALSE())/12))</f>
        <v>0</v>
      </c>
      <c r="X9" s="25" t="n">
        <f aca="false">VLOOKUP(Q9,'Desl. Base Pelotas'!$C$5:$Q$13,14,FALSE())</f>
        <v>0</v>
      </c>
      <c r="Y9" s="25" t="n">
        <f aca="false">VLOOKUP(Q9,'Desl. Base Pelotas'!$C$5:Q$13,13,FALSE())*'Desl. Base Pelotas'!$E$18+'Desl. Base Pelotas'!$E$19*N9/12</f>
        <v>199.759166666667</v>
      </c>
      <c r="Z9" s="25" t="n">
        <f aca="false">(H9/$AC$5)*'Equipe Técnica'!$C$13</f>
        <v>220.997863127511</v>
      </c>
      <c r="AA9" s="25" t="n">
        <f aca="false">(I9/$AC$5)*'Equipe Técnica'!$C$13</f>
        <v>265.197435753013</v>
      </c>
      <c r="AB9" s="25" t="n">
        <f aca="false">(L9/$AC$5)*'Equipe Técnica'!$C$13</f>
        <v>243.097649440262</v>
      </c>
      <c r="AC9" s="25" t="n">
        <f aca="false">(M9/$AC$5)*'Equipe Técnica'!$C$13</f>
        <v>832.425284446957</v>
      </c>
      <c r="AD9" s="25" t="n">
        <f aca="false">R9+(($V9+$W9+$X9+$Y9)*12/19)+$Z9</f>
        <v>549.488593169616</v>
      </c>
      <c r="AE9" s="25" t="n">
        <f aca="false">S9+(($V9+$W9+$X9+$Y9)*12/19)+$AA9</f>
        <v>609.651373395118</v>
      </c>
      <c r="AF9" s="25" t="n">
        <f aca="false">T9+(($V9+$W9+$X9+$Y9)*12/19)+$AB9</f>
        <v>579.569983282367</v>
      </c>
      <c r="AG9" s="25" t="n">
        <f aca="false">U9+(($V9+$W9+$X9+$Y9)*12/19)+$AC9</f>
        <v>1586.10088628906</v>
      </c>
      <c r="AH9" s="122"/>
      <c r="AI9" s="23" t="str">
        <f aca="false">B9</f>
        <v>APS JAGUARÃO</v>
      </c>
      <c r="AJ9" s="68" t="n">
        <f aca="false">VLOOKUP(AI9,Unidades!D$5:H$27,5,)</f>
        <v>0.2223</v>
      </c>
      <c r="AK9" s="47" t="n">
        <f aca="false">AD9*(1+$AJ9)</f>
        <v>671.639907431222</v>
      </c>
      <c r="AL9" s="47" t="n">
        <f aca="false">AE9*(1+$AJ9)</f>
        <v>745.176873700853</v>
      </c>
      <c r="AM9" s="47" t="n">
        <f aca="false">AF9*(1+$AJ9)</f>
        <v>708.408390566038</v>
      </c>
      <c r="AN9" s="47" t="n">
        <f aca="false">AG9*(1+$AJ9)</f>
        <v>1938.69111331112</v>
      </c>
      <c r="AO9" s="47" t="n">
        <f aca="false">((AK9*12)+(AL9*4)+(AM9*2)+AN9)/12</f>
        <v>1199.65785653511</v>
      </c>
      <c r="AP9" s="47" t="n">
        <f aca="false">AO9*$AP$6</f>
        <v>3162.7343490471</v>
      </c>
      <c r="AQ9" s="47" t="n">
        <f aca="false">AO9+AP9</f>
        <v>4362.3922055822</v>
      </c>
      <c r="AR9" s="69"/>
      <c r="AS9" s="69"/>
      <c r="AT9" s="71"/>
      <c r="AU9" s="71"/>
      <c r="AV9" s="71"/>
      <c r="AW9" s="71"/>
    </row>
    <row r="10" customFormat="false" ht="15" hidden="false" customHeight="true" outlineLevel="0" collapsed="false">
      <c r="B10" s="23" t="s">
        <v>135</v>
      </c>
      <c r="C10" s="64" t="n">
        <f aca="false">VLOOKUP($B10,Unidades!$D$5:$N$27,6,FALSE())</f>
        <v>1315.1</v>
      </c>
      <c r="D10" s="64" t="n">
        <f aca="false">VLOOKUP($B10,Unidades!$D$5:$N$27,7,FALSE())</f>
        <v>1195.25</v>
      </c>
      <c r="E10" s="64" t="n">
        <f aca="false">VLOOKUP($B10,Unidades!$D$5:$N$27,8,FALSE())</f>
        <v>119.85</v>
      </c>
      <c r="F10" s="64" t="n">
        <f aca="false">VLOOKUP($B10,Unidades!$D$5:$N$27,9,FALSE())</f>
        <v>0</v>
      </c>
      <c r="G10" s="64" t="n">
        <f aca="false">D10+$E$6*E10+$F$6*F10</f>
        <v>1237.1975</v>
      </c>
      <c r="H10" s="65" t="n">
        <f aca="false">IF(G10&lt;750,1.5,IF(G10&lt;2000,2,IF(G10&lt;4000,3,12)))</f>
        <v>2</v>
      </c>
      <c r="I10" s="65" t="n">
        <f aca="false">$I$6*H10</f>
        <v>2.4</v>
      </c>
      <c r="J10" s="65" t="str">
        <f aca="false">VLOOKUP($B10,Unidades!$D$5:$N$27,10,FALSE())</f>
        <v>NÃO</v>
      </c>
      <c r="K10" s="65" t="str">
        <f aca="false">VLOOKUP($B10,Unidades!$D$5:$N$27,11,FALSE())</f>
        <v>SIM</v>
      </c>
      <c r="L10" s="65" t="n">
        <f aca="false">$L$6*H10+(IF(J10="SIM",$J$6,0))</f>
        <v>2.2</v>
      </c>
      <c r="M10" s="65" t="n">
        <f aca="false">$M$6*H10+(IF(J10="SIM",$J$6,0))+(IF(K10="SIM",$K$6,0))</f>
        <v>6.2</v>
      </c>
      <c r="N10" s="65" t="n">
        <f aca="false">H10*12+I10*4+L10*2+M10</f>
        <v>44.2</v>
      </c>
      <c r="O10" s="66" t="n">
        <f aca="false">IF(K10="não", N10*(C$19+D$19),N10*(C$19+D$19)+(M10*+E$19))</f>
        <v>2576.1665864</v>
      </c>
      <c r="P10" s="67"/>
      <c r="Q10" s="23" t="str">
        <f aca="false">B10</f>
        <v>APS RIO GRANDE</v>
      </c>
      <c r="R10" s="25" t="n">
        <f aca="false">H10*($C$19+$D$19)</f>
        <v>106.421384</v>
      </c>
      <c r="S10" s="25" t="n">
        <f aca="false">I10*($C$19+$D$19)</f>
        <v>127.7056608</v>
      </c>
      <c r="T10" s="25" t="n">
        <f aca="false">L10*($C$19+$D$19)</f>
        <v>117.0635224</v>
      </c>
      <c r="U10" s="25" t="n">
        <f aca="false">IF(K10="não",M10*($C$19+$D$19),M10*(C$19+D$19+E$19))</f>
        <v>554.1602904</v>
      </c>
      <c r="V10" s="25" t="n">
        <f aca="false">VLOOKUP(Q10,'Desl. Base Pelotas'!$C$5:$S$13,13,FALSE())*($C$19+$D$19+$E$19*(VLOOKUP(Q10,'Desl. Base Pelotas'!$C$5:$S$13,17,FALSE())/12))</f>
        <v>109.169933911111</v>
      </c>
      <c r="W10" s="25" t="n">
        <f aca="false">VLOOKUP(Q10,'Desl. Base Pelotas'!$C$5:$S$13,15,FALSE())*(2+(VLOOKUP(Q10,'Desl. Base Pelotas'!$C$5:$S$13,17,FALSE())/12))</f>
        <v>0</v>
      </c>
      <c r="X10" s="25" t="n">
        <f aca="false">VLOOKUP(Q10,'Desl. Base Pelotas'!$C$5:$Q$13,14,FALSE())</f>
        <v>19.6</v>
      </c>
      <c r="Y10" s="25" t="n">
        <f aca="false">VLOOKUP(Q10,'Desl. Base Pelotas'!$C$5:Q$13,13,FALSE())*'Desl. Base Pelotas'!$E$18+'Desl. Base Pelotas'!$E$19*N10/12</f>
        <v>126.08075</v>
      </c>
      <c r="Z10" s="25" t="n">
        <f aca="false">(H10/$AC$5)*'Equipe Técnica'!$C$13</f>
        <v>294.663817503348</v>
      </c>
      <c r="AA10" s="25" t="n">
        <f aca="false">(I10/$AC$5)*'Equipe Técnica'!$C$13</f>
        <v>353.596581004017</v>
      </c>
      <c r="AB10" s="25" t="n">
        <f aca="false">(L10/$AC$5)*'Equipe Técnica'!$C$13</f>
        <v>324.130199253683</v>
      </c>
      <c r="AC10" s="25" t="n">
        <f aca="false">(M10/$AC$5)*'Equipe Técnica'!$C$13</f>
        <v>913.457834260378</v>
      </c>
      <c r="AD10" s="25" t="n">
        <f aca="false">R10+(($V10+$W10+$X10+$Y10)*12/19)+$Z10</f>
        <v>562.043528184049</v>
      </c>
      <c r="AE10" s="25" t="n">
        <f aca="false">S10+(($V10+$W10+$X10+$Y10)*12/19)+$AA10</f>
        <v>642.260568484719</v>
      </c>
      <c r="AF10" s="25" t="n">
        <f aca="false">T10+(($V10+$W10+$X10+$Y10)*12/19)+$AB10</f>
        <v>602.152048334384</v>
      </c>
      <c r="AG10" s="25" t="n">
        <f aca="false">U10+(($V10+$W10+$X10+$Y10)*12/19)+$AC10</f>
        <v>1628.57645134108</v>
      </c>
      <c r="AH10" s="122"/>
      <c r="AI10" s="23" t="str">
        <f aca="false">B10</f>
        <v>APS RIO GRANDE</v>
      </c>
      <c r="AJ10" s="68" t="n">
        <f aca="false">VLOOKUP(AI10,Unidades!D$5:H$27,5,)</f>
        <v>0.2354</v>
      </c>
      <c r="AK10" s="47" t="n">
        <f aca="false">AD10*(1+$AJ10)</f>
        <v>694.348574718575</v>
      </c>
      <c r="AL10" s="47" t="n">
        <f aca="false">AE10*(1+$AJ10)</f>
        <v>793.448706306022</v>
      </c>
      <c r="AM10" s="47" t="n">
        <f aca="false">AF10*(1+$AJ10)</f>
        <v>743.898640512298</v>
      </c>
      <c r="AN10" s="47" t="n">
        <f aca="false">AG10*(1+$AJ10)</f>
        <v>2011.94334798677</v>
      </c>
      <c r="AO10" s="47" t="n">
        <f aca="false">((AK10*12)+(AL10*4)+(AM10*2)+AN10)/12</f>
        <v>1250.4765292382</v>
      </c>
      <c r="AP10" s="47" t="n">
        <f aca="false">AO10*$AP$6</f>
        <v>3296.71084980979</v>
      </c>
      <c r="AQ10" s="47" t="n">
        <f aca="false">AO10+AP10</f>
        <v>4547.18737904798</v>
      </c>
      <c r="AR10" s="69"/>
      <c r="AS10" s="72" t="s">
        <v>72</v>
      </c>
      <c r="AT10" s="47" t="n">
        <f aca="false">(SUM(AT8:AW8))/12</f>
        <v>11539.0615047264</v>
      </c>
      <c r="AU10" s="47"/>
      <c r="AV10" s="71"/>
      <c r="AW10" s="71"/>
    </row>
    <row r="11" customFormat="false" ht="15" hidden="false" customHeight="true" outlineLevel="0" collapsed="false">
      <c r="B11" s="23" t="s">
        <v>136</v>
      </c>
      <c r="C11" s="64" t="n">
        <f aca="false">VLOOKUP($B11,Unidades!$D$5:$N$27,6,FALSE())</f>
        <v>399.57</v>
      </c>
      <c r="D11" s="64" t="n">
        <f aca="false">VLOOKUP($B11,Unidades!$D$5:$N$27,7,FALSE())</f>
        <v>322.16</v>
      </c>
      <c r="E11" s="64" t="n">
        <f aca="false">VLOOKUP($B11,Unidades!$D$5:$N$27,8,FALSE())</f>
        <v>77.41</v>
      </c>
      <c r="F11" s="64" t="n">
        <f aca="false">VLOOKUP($B11,Unidades!$D$5:$N$27,9,FALSE())</f>
        <v>0</v>
      </c>
      <c r="G11" s="64" t="n">
        <f aca="false">D11+$E$6*E11+$F$6*F11</f>
        <v>349.2535</v>
      </c>
      <c r="H11" s="65" t="n">
        <f aca="false">IF(G11&lt;750,1.5,IF(G11&lt;2000,2,IF(G11&lt;4000,3,12)))</f>
        <v>1.5</v>
      </c>
      <c r="I11" s="65" t="n">
        <f aca="false">$I$6*H11</f>
        <v>1.8</v>
      </c>
      <c r="J11" s="65" t="str">
        <f aca="false">VLOOKUP($B11,Unidades!$D$5:$N$27,10,FALSE())</f>
        <v>NÃO</v>
      </c>
      <c r="K11" s="65" t="str">
        <f aca="false">VLOOKUP($B11,Unidades!$D$5:$N$27,11,FALSE())</f>
        <v>NÃO</v>
      </c>
      <c r="L11" s="65" t="n">
        <f aca="false">$L$6*H11+(IF(J11="SIM",$J$6,0))</f>
        <v>1.65</v>
      </c>
      <c r="M11" s="65" t="n">
        <f aca="false">$M$6*H11+(IF(J11="SIM",$J$6,0))+(IF(K11="SIM",$K$6,0))</f>
        <v>1.65</v>
      </c>
      <c r="N11" s="65" t="n">
        <f aca="false">H11*12+I11*4+L11*2+M11</f>
        <v>30.15</v>
      </c>
      <c r="O11" s="66" t="n">
        <f aca="false">IF(K11="não", N11*(C$19+D$19),N11*(C$19+D$19)+(M11*+E$19))</f>
        <v>1604.3023638</v>
      </c>
      <c r="P11" s="67"/>
      <c r="Q11" s="23" t="str">
        <f aca="false">B11</f>
        <v>APS SANTA VITÓRIA DO PALMAR</v>
      </c>
      <c r="R11" s="25" t="n">
        <f aca="false">H11*($C$19+$D$19)</f>
        <v>79.816038</v>
      </c>
      <c r="S11" s="25" t="n">
        <f aca="false">I11*($C$19+$D$19)</f>
        <v>95.7792456</v>
      </c>
      <c r="T11" s="25" t="n">
        <f aca="false">L11*($C$19+$D$19)</f>
        <v>87.7976418</v>
      </c>
      <c r="U11" s="25" t="n">
        <f aca="false">IF(K11="não",M11*($C$19+$D$19),M11*(C$19+D$19+E$19))</f>
        <v>87.7976418</v>
      </c>
      <c r="V11" s="25" t="n">
        <f aca="false">VLOOKUP(Q11,'Desl. Base Pelotas'!$C$5:$S$13,13,FALSE())*($C$19+$D$19+$E$19*(VLOOKUP(Q11,'Desl. Base Pelotas'!$C$5:$S$13,17,FALSE())/12))</f>
        <v>308.6220136</v>
      </c>
      <c r="W11" s="25" t="n">
        <f aca="false">VLOOKUP(Q11,'Desl. Base Pelotas'!$C$5:$S$13,15,FALSE())*(2+(VLOOKUP(Q11,'Desl. Base Pelotas'!$C$5:$S$13,17,FALSE())/12))</f>
        <v>557.6</v>
      </c>
      <c r="X11" s="25" t="n">
        <f aca="false">VLOOKUP(Q11,'Desl. Base Pelotas'!$C$5:$Q$13,14,FALSE())</f>
        <v>39.2</v>
      </c>
      <c r="Y11" s="25" t="n">
        <f aca="false">VLOOKUP(Q11,'Desl. Base Pelotas'!$C$5:Q$13,13,FALSE())*'Desl. Base Pelotas'!$E$18+'Desl. Base Pelotas'!$E$19*N11/12</f>
        <v>320.924</v>
      </c>
      <c r="Z11" s="25" t="n">
        <f aca="false">(H11/$AC$5)*'Equipe Técnica'!$C$13</f>
        <v>220.997863127511</v>
      </c>
      <c r="AA11" s="25" t="n">
        <f aca="false">(I11/$AC$5)*'Equipe Técnica'!$C$13</f>
        <v>265.197435753013</v>
      </c>
      <c r="AB11" s="25" t="n">
        <f aca="false">(L11/$AC$5)*'Equipe Técnica'!$C$13</f>
        <v>243.097649440262</v>
      </c>
      <c r="AC11" s="25" t="n">
        <f aca="false">(M11/$AC$5)*'Equipe Técnica'!$C$13</f>
        <v>243.097649440262</v>
      </c>
      <c r="AD11" s="25" t="n">
        <f aca="false">R11+(($V11+$W11+$X11+$Y11)*12/19)+$Z11</f>
        <v>1075.34822550646</v>
      </c>
      <c r="AE11" s="25" t="n">
        <f aca="false">S11+(($V11+$W11+$X11+$Y11)*12/19)+$AA11</f>
        <v>1135.51100573196</v>
      </c>
      <c r="AF11" s="25" t="n">
        <f aca="false">T11+(($V11+$W11+$X11+$Y11)*12/19)+$AB11</f>
        <v>1105.42961561921</v>
      </c>
      <c r="AG11" s="25" t="n">
        <f aca="false">U11+(($V11+$W11+$X11+$Y11)*12/19)+$AC11</f>
        <v>1105.42961561921</v>
      </c>
      <c r="AH11" s="122"/>
      <c r="AI11" s="23" t="str">
        <f aca="false">B11</f>
        <v>APS SANTA VITÓRIA DO PALMAR</v>
      </c>
      <c r="AJ11" s="68" t="n">
        <f aca="false">VLOOKUP(AI11,Unidades!D$5:H$27,5,)</f>
        <v>0.2354</v>
      </c>
      <c r="AK11" s="47" t="n">
        <f aca="false">AD11*(1+$AJ11)</f>
        <v>1328.48519779068</v>
      </c>
      <c r="AL11" s="47" t="n">
        <f aca="false">AE11*(1+$AJ11)</f>
        <v>1402.81029648126</v>
      </c>
      <c r="AM11" s="47" t="n">
        <f aca="false">AF11*(1+$AJ11)</f>
        <v>1365.64774713597</v>
      </c>
      <c r="AN11" s="47" t="n">
        <f aca="false">AG11*(1+$AJ11)</f>
        <v>1365.64774713597</v>
      </c>
      <c r="AO11" s="47" t="n">
        <f aca="false">((AK11*12)+(AL11*4)+(AM11*2)+AN11)/12</f>
        <v>2137.50056673509</v>
      </c>
      <c r="AP11" s="47" t="n">
        <f aca="false">AO11*$AP$6</f>
        <v>5635.22876684706</v>
      </c>
      <c r="AQ11" s="47" t="n">
        <f aca="false">AO11+AP11</f>
        <v>7772.72933358215</v>
      </c>
      <c r="AR11" s="69"/>
      <c r="AS11" s="72" t="s">
        <v>88</v>
      </c>
      <c r="AT11" s="47" t="n">
        <f aca="false">AT10*12</f>
        <v>138468.738056716</v>
      </c>
      <c r="AU11" s="47"/>
      <c r="AV11" s="71"/>
      <c r="AW11" s="71"/>
    </row>
    <row r="12" customFormat="false" ht="15" hidden="false" customHeight="true" outlineLevel="0" collapsed="false">
      <c r="B12" s="23" t="s">
        <v>137</v>
      </c>
      <c r="C12" s="64" t="n">
        <f aca="false">VLOOKUP($B12,Unidades!$D$5:$N$27,6,FALSE())</f>
        <v>334.4</v>
      </c>
      <c r="D12" s="64" t="n">
        <f aca="false">VLOOKUP($B12,Unidades!$D$5:$N$27,7,FALSE())</f>
        <v>296</v>
      </c>
      <c r="E12" s="64" t="n">
        <f aca="false">VLOOKUP($B12,Unidades!$D$5:$N$27,8,FALSE())</f>
        <v>38.4</v>
      </c>
      <c r="F12" s="64" t="n">
        <f aca="false">VLOOKUP($B12,Unidades!$D$5:$N$27,9,FALSE())</f>
        <v>0</v>
      </c>
      <c r="G12" s="64" t="n">
        <f aca="false">D12+$E$6*E12+$F$6*F12</f>
        <v>309.44</v>
      </c>
      <c r="H12" s="65" t="n">
        <f aca="false">IF(G12&lt;750,1.5,IF(G12&lt;2000,2,IF(G12&lt;4000,3,12)))</f>
        <v>1.5</v>
      </c>
      <c r="I12" s="65" t="n">
        <f aca="false">$I$6*H12</f>
        <v>1.8</v>
      </c>
      <c r="J12" s="65" t="str">
        <f aca="false">VLOOKUP($B12,Unidades!$D$5:$N$27,10,FALSE())</f>
        <v>NÃO</v>
      </c>
      <c r="K12" s="65" t="str">
        <f aca="false">VLOOKUP($B12,Unidades!$D$5:$N$27,11,FALSE())</f>
        <v>NÃO</v>
      </c>
      <c r="L12" s="65" t="n">
        <f aca="false">$L$6*H12+(IF(J12="SIM",$J$6,0))</f>
        <v>1.65</v>
      </c>
      <c r="M12" s="65" t="n">
        <f aca="false">$M$6*H12+(IF(J12="SIM",$J$6,0))+(IF(K12="SIM",$K$6,0))</f>
        <v>1.65</v>
      </c>
      <c r="N12" s="65" t="n">
        <f aca="false">H12*12+I12*4+L12*2+M12</f>
        <v>30.15</v>
      </c>
      <c r="O12" s="66" t="n">
        <f aca="false">IF(K12="não", N12*(C$19+D$19),N12*(C$19+D$19)+(M12*+E$19))</f>
        <v>1604.3023638</v>
      </c>
      <c r="P12" s="67"/>
      <c r="Q12" s="23" t="str">
        <f aca="false">B12</f>
        <v>APS SÃO JOSÉ DO NORTE</v>
      </c>
      <c r="R12" s="25" t="n">
        <f aca="false">H12*($C$19+$D$19)</f>
        <v>79.816038</v>
      </c>
      <c r="S12" s="25" t="n">
        <f aca="false">I12*($C$19+$D$19)</f>
        <v>95.7792456</v>
      </c>
      <c r="T12" s="25" t="n">
        <f aca="false">L12*($C$19+$D$19)</f>
        <v>87.7976418</v>
      </c>
      <c r="U12" s="25" t="n">
        <f aca="false">IF(K12="não",M12*($C$19+$D$19),M12*(C$19+D$19+E$19))</f>
        <v>87.7976418</v>
      </c>
      <c r="V12" s="25" t="n">
        <f aca="false">VLOOKUP(Q12,'Desl. Base Pelotas'!$C$5:$S$13,13,FALSE())*($C$19+$D$19+$E$19*(VLOOKUP(Q12,'Desl. Base Pelotas'!$C$5:$S$13,17,FALSE())/12))</f>
        <v>109.169933911111</v>
      </c>
      <c r="W12" s="25" t="n">
        <f aca="false">VLOOKUP(Q12,'Desl. Base Pelotas'!$C$5:$S$13,15,FALSE())*(2+(VLOOKUP(Q12,'Desl. Base Pelotas'!$C$5:$S$13,17,FALSE())/12))</f>
        <v>0</v>
      </c>
      <c r="X12" s="25" t="n">
        <f aca="false">VLOOKUP(Q12,'Desl. Base Pelotas'!$C$5:$Q$13,14,FALSE())</f>
        <v>19.6</v>
      </c>
      <c r="Y12" s="25" t="n">
        <f aca="false">VLOOKUP(Q12,'Desl. Base Pelotas'!$C$5:Q$13,13,FALSE())*'Desl. Base Pelotas'!$E$18+'Desl. Base Pelotas'!$E$19*N12/12</f>
        <v>118.400083333333</v>
      </c>
      <c r="Z12" s="25" t="n">
        <f aca="false">(H12/$AC$5)*'Equipe Técnica'!$C$13</f>
        <v>220.997863127511</v>
      </c>
      <c r="AA12" s="25" t="n">
        <f aca="false">(I12/$AC$5)*'Equipe Técnica'!$C$13</f>
        <v>265.197435753013</v>
      </c>
      <c r="AB12" s="25" t="n">
        <f aca="false">(L12/$AC$5)*'Equipe Técnica'!$C$13</f>
        <v>243.097649440262</v>
      </c>
      <c r="AC12" s="25" t="n">
        <f aca="false">(M12/$AC$5)*'Equipe Técnica'!$C$13</f>
        <v>243.097649440262</v>
      </c>
      <c r="AD12" s="25" t="n">
        <f aca="false">R12+(($V12+$W12+$X12+$Y12)*12/19)+$Z12</f>
        <v>456.921280439792</v>
      </c>
      <c r="AE12" s="25" t="n">
        <f aca="false">S12+(($V12+$W12+$X12+$Y12)*12/19)+$AA12</f>
        <v>517.084060665294</v>
      </c>
      <c r="AF12" s="25" t="n">
        <f aca="false">T12+(($V12+$W12+$X12+$Y12)*12/19)+$AB12</f>
        <v>487.002670552543</v>
      </c>
      <c r="AG12" s="25" t="n">
        <f aca="false">U12+(($V12+$W12+$X12+$Y12)*12/19)+$AC12</f>
        <v>487.002670552543</v>
      </c>
      <c r="AH12" s="122"/>
      <c r="AI12" s="23" t="str">
        <f aca="false">B12</f>
        <v>APS SÃO JOSÉ DO NORTE</v>
      </c>
      <c r="AJ12" s="68" t="n">
        <f aca="false">VLOOKUP(AI12,Unidades!D$5:H$27,5,)</f>
        <v>0.2487</v>
      </c>
      <c r="AK12" s="47" t="n">
        <f aca="false">AD12*(1+$AJ12)</f>
        <v>570.557602885168</v>
      </c>
      <c r="AL12" s="47" t="n">
        <f aca="false">AE12*(1+$AJ12)</f>
        <v>645.682866552752</v>
      </c>
      <c r="AM12" s="47" t="n">
        <f aca="false">AF12*(1+$AJ12)</f>
        <v>608.12023471896</v>
      </c>
      <c r="AN12" s="47" t="n">
        <f aca="false">AG12*(1+$AJ12)</f>
        <v>608.12023471896</v>
      </c>
      <c r="AO12" s="47" t="n">
        <f aca="false">((AK12*12)+(AL12*4)+(AM12*2)+AN12)/12</f>
        <v>937.815283749158</v>
      </c>
      <c r="AP12" s="47" t="n">
        <f aca="false">AO12*$AP$6</f>
        <v>2472.42211170233</v>
      </c>
      <c r="AQ12" s="47" t="n">
        <f aca="false">AO12+AP12</f>
        <v>3410.23739545148</v>
      </c>
      <c r="AR12" s="69"/>
      <c r="AS12" s="72" t="s">
        <v>73</v>
      </c>
      <c r="AT12" s="47" t="n">
        <f aca="false">AP16</f>
        <v>30421.162148824</v>
      </c>
      <c r="AU12" s="47"/>
      <c r="AV12" s="69"/>
      <c r="AW12" s="69"/>
    </row>
    <row r="13" customFormat="false" ht="15" hidden="false" customHeight="true" outlineLevel="0" collapsed="false">
      <c r="B13" s="23" t="s">
        <v>138</v>
      </c>
      <c r="C13" s="64" t="n">
        <f aca="false">VLOOKUP($B13,Unidades!$D$5:$N$27,6,FALSE())</f>
        <v>740.65</v>
      </c>
      <c r="D13" s="64" t="n">
        <f aca="false">VLOOKUP($B13,Unidades!$D$5:$N$27,7,FALSE())</f>
        <v>631.06</v>
      </c>
      <c r="E13" s="64" t="n">
        <f aca="false">VLOOKUP($B13,Unidades!$D$5:$N$27,8,FALSE())</f>
        <v>109.59</v>
      </c>
      <c r="F13" s="64" t="n">
        <f aca="false">VLOOKUP($B13,Unidades!$D$5:$N$27,9,FALSE())</f>
        <v>0</v>
      </c>
      <c r="G13" s="64" t="n">
        <f aca="false">D13+$E$6*E13+$F$6*F13</f>
        <v>669.4165</v>
      </c>
      <c r="H13" s="65" t="n">
        <f aca="false">IF(G13&lt;750,1.5,IF(G13&lt;2000,2,IF(G13&lt;4000,3,12)))</f>
        <v>1.5</v>
      </c>
      <c r="I13" s="65" t="n">
        <f aca="false">$I$6*H13</f>
        <v>1.8</v>
      </c>
      <c r="J13" s="65" t="str">
        <f aca="false">VLOOKUP($B13,Unidades!$D$5:$N$27,10,FALSE())</f>
        <v>NÃO</v>
      </c>
      <c r="K13" s="65" t="str">
        <f aca="false">VLOOKUP($B13,Unidades!$D$5:$N$27,11,FALSE())</f>
        <v>NÃO</v>
      </c>
      <c r="L13" s="65" t="n">
        <f aca="false">$L$6*H13+(IF(J13="SIM",$J$6,0))</f>
        <v>1.65</v>
      </c>
      <c r="M13" s="65" t="n">
        <f aca="false">$M$6*H13+(IF(J13="SIM",$J$6,0))+(IF(K13="SIM",$K$6,0))</f>
        <v>1.65</v>
      </c>
      <c r="N13" s="65" t="n">
        <f aca="false">H13*12+I13*4+L13*2+M13</f>
        <v>30.15</v>
      </c>
      <c r="O13" s="66" t="n">
        <f aca="false">IF(K13="não", N13*(C$19+D$19),N13*(C$19+D$19)+(M13*+E$19))</f>
        <v>1604.3023638</v>
      </c>
      <c r="P13" s="67"/>
      <c r="Q13" s="23" t="str">
        <f aca="false">B13</f>
        <v>APS SÃO LOURENÇO DO SUL</v>
      </c>
      <c r="R13" s="25" t="n">
        <f aca="false">H13*($C$19+$D$19)</f>
        <v>79.816038</v>
      </c>
      <c r="S13" s="25" t="n">
        <f aca="false">I13*($C$19+$D$19)</f>
        <v>95.7792456</v>
      </c>
      <c r="T13" s="25" t="n">
        <f aca="false">L13*($C$19+$D$19)</f>
        <v>87.7976418</v>
      </c>
      <c r="U13" s="25" t="n">
        <f aca="false">IF(K13="não",M13*($C$19+$D$19),M13*(C$19+D$19+E$19))</f>
        <v>87.7976418</v>
      </c>
      <c r="V13" s="25" t="n">
        <f aca="false">VLOOKUP(Q13,'Desl. Base Pelotas'!$C$5:$S$13,13,FALSE())*($C$19+$D$19+$E$19*(VLOOKUP(Q13,'Desl. Base Pelotas'!$C$5:$S$13,17,FALSE())/12))</f>
        <v>109.968763466667</v>
      </c>
      <c r="W13" s="25" t="n">
        <f aca="false">VLOOKUP(Q13,'Desl. Base Pelotas'!$C$5:$S$13,15,FALSE())*(2+(VLOOKUP(Q13,'Desl. Base Pelotas'!$C$5:$S$13,17,FALSE())/12))</f>
        <v>0</v>
      </c>
      <c r="X13" s="25" t="n">
        <f aca="false">VLOOKUP(Q13,'Desl. Base Pelotas'!$C$5:$Q$13,14,FALSE())</f>
        <v>39.2</v>
      </c>
      <c r="Y13" s="25" t="n">
        <f aca="false">VLOOKUP(Q13,'Desl. Base Pelotas'!$C$5:Q$13,13,FALSE())*'Desl. Base Pelotas'!$E$18+'Desl. Base Pelotas'!$E$19*N13/12</f>
        <v>124.961333333333</v>
      </c>
      <c r="Z13" s="25" t="n">
        <f aca="false">(H13/$AC$5)*'Equipe Técnica'!$C$13</f>
        <v>220.997863127511</v>
      </c>
      <c r="AA13" s="25" t="n">
        <f aca="false">(I13/$AC$5)*'Equipe Técnica'!$C$13</f>
        <v>265.197435753013</v>
      </c>
      <c r="AB13" s="25" t="n">
        <f aca="false">(L13/$AC$5)*'Equipe Técnica'!$C$13</f>
        <v>243.097649440262</v>
      </c>
      <c r="AC13" s="25" t="n">
        <f aca="false">(M13/$AC$5)*'Equipe Técnica'!$C$13</f>
        <v>243.097649440262</v>
      </c>
      <c r="AD13" s="25" t="n">
        <f aca="false">R13+(($V13+$W13+$X13+$Y13)*12/19)+$Z13</f>
        <v>473.948699106458</v>
      </c>
      <c r="AE13" s="25" t="n">
        <f aca="false">S13+(($V13+$W13+$X13+$Y13)*12/19)+$AA13</f>
        <v>534.11147933196</v>
      </c>
      <c r="AF13" s="25" t="n">
        <f aca="false">T13+(($V13+$W13+$X13+$Y13)*12/19)+$AB13</f>
        <v>504.030089219209</v>
      </c>
      <c r="AG13" s="25" t="n">
        <f aca="false">U13+(($V13+$W13+$X13+$Y13)*12/19)+$AC13</f>
        <v>504.030089219209</v>
      </c>
      <c r="AH13" s="122"/>
      <c r="AI13" s="23" t="str">
        <f aca="false">B13</f>
        <v>APS SÃO LOURENÇO DO SUL</v>
      </c>
      <c r="AJ13" s="68" t="n">
        <f aca="false">VLOOKUP(AI13,Unidades!D$5:H$27,5,)</f>
        <v>0.2223</v>
      </c>
      <c r="AK13" s="47" t="n">
        <f aca="false">AD13*(1+$AJ13)</f>
        <v>579.307494917824</v>
      </c>
      <c r="AL13" s="47" t="n">
        <f aca="false">AE13*(1+$AJ13)</f>
        <v>652.844461187455</v>
      </c>
      <c r="AM13" s="47" t="n">
        <f aca="false">AF13*(1+$AJ13)</f>
        <v>616.07597805264</v>
      </c>
      <c r="AN13" s="47" t="n">
        <f aca="false">AG13*(1+$AJ13)</f>
        <v>616.07597805264</v>
      </c>
      <c r="AO13" s="47" t="n">
        <f aca="false">((AK13*12)+(AL13*4)+(AM13*2)+AN13)/12</f>
        <v>950.941309826802</v>
      </c>
      <c r="AP13" s="47" t="n">
        <f aca="false">AO13*$AP$6</f>
        <v>2507.02708954339</v>
      </c>
      <c r="AQ13" s="47" t="n">
        <f aca="false">AO13+AP13</f>
        <v>3457.96839937019</v>
      </c>
      <c r="AR13" s="69"/>
      <c r="AS13" s="72" t="s">
        <v>91</v>
      </c>
      <c r="AT13" s="47" t="n">
        <f aca="false">AT12*12</f>
        <v>365053.945785888</v>
      </c>
      <c r="AU13" s="47"/>
      <c r="AV13" s="71"/>
      <c r="AW13" s="71"/>
    </row>
    <row r="14" customFormat="false" ht="15" hidden="false" customHeight="true" outlineLevel="0" collapsed="false">
      <c r="B14" s="23" t="s">
        <v>139</v>
      </c>
      <c r="C14" s="64" t="n">
        <f aca="false">VLOOKUP($B14,Unidades!$D$5:$N$27,6,FALSE())</f>
        <v>334.4</v>
      </c>
      <c r="D14" s="64" t="n">
        <f aca="false">VLOOKUP($B14,Unidades!$D$5:$N$27,7,FALSE())</f>
        <v>296</v>
      </c>
      <c r="E14" s="64" t="n">
        <f aca="false">VLOOKUP($B14,Unidades!$D$5:$N$27,8,FALSE())</f>
        <v>38.4</v>
      </c>
      <c r="F14" s="64" t="n">
        <f aca="false">VLOOKUP($B14,Unidades!$D$5:$N$27,9,FALSE())</f>
        <v>0</v>
      </c>
      <c r="G14" s="64" t="n">
        <f aca="false">D14+$E$6*E14+$F$6*F14</f>
        <v>309.44</v>
      </c>
      <c r="H14" s="65" t="n">
        <f aca="false">IF(G14&lt;750,1.5,IF(G14&lt;2000,2,IF(G14&lt;4000,3,12)))</f>
        <v>1.5</v>
      </c>
      <c r="I14" s="65" t="n">
        <f aca="false">$I$6*H14</f>
        <v>1.8</v>
      </c>
      <c r="J14" s="65" t="str">
        <f aca="false">VLOOKUP($B14,Unidades!$D$5:$N$27,10,FALSE())</f>
        <v>NÃO</v>
      </c>
      <c r="K14" s="65" t="str">
        <f aca="false">VLOOKUP($B14,Unidades!$D$5:$N$27,11,FALSE())</f>
        <v>NÃO</v>
      </c>
      <c r="L14" s="65" t="n">
        <f aca="false">$L$6*H14+(IF(J14="SIM",$J$6,0))</f>
        <v>1.65</v>
      </c>
      <c r="M14" s="65" t="n">
        <f aca="false">$M$6*H14+(IF(J14="SIM",$J$6,0))+(IF(K14="SIM",$K$6,0))</f>
        <v>1.65</v>
      </c>
      <c r="N14" s="65" t="n">
        <f aca="false">H14*12+I14*4+L14*2+M14</f>
        <v>30.15</v>
      </c>
      <c r="O14" s="66" t="n">
        <f aca="false">IF(K14="não", N14*(C$19+D$19),N14*(C$19+D$19)+(M14*+E$19))</f>
        <v>1604.3023638</v>
      </c>
      <c r="P14" s="67"/>
      <c r="Q14" s="23" t="str">
        <f aca="false">B14</f>
        <v>APS TAPES</v>
      </c>
      <c r="R14" s="25" t="n">
        <f aca="false">H14*($C$19+$D$19)</f>
        <v>79.816038</v>
      </c>
      <c r="S14" s="25" t="n">
        <f aca="false">I14*($C$19+$D$19)</f>
        <v>95.7792456</v>
      </c>
      <c r="T14" s="25" t="n">
        <f aca="false">L14*($C$19+$D$19)</f>
        <v>87.7976418</v>
      </c>
      <c r="U14" s="25" t="n">
        <f aca="false">IF(K14="não",M14*($C$19+$D$19),M14*(C$19+D$19+E$19))</f>
        <v>87.7976418</v>
      </c>
      <c r="V14" s="25" t="n">
        <f aca="false">VLOOKUP(Q14,'Desl. Base Pelotas'!$C$5:$S$13,13,FALSE())*($C$19+$D$19+$E$19*(VLOOKUP(Q14,'Desl. Base Pelotas'!$C$5:$S$13,17,FALSE())/12))</f>
        <v>154.149820844444</v>
      </c>
      <c r="W14" s="25" t="n">
        <f aca="false">VLOOKUP(Q14,'Desl. Base Pelotas'!$C$5:$S$13,15,FALSE())*(2+(VLOOKUP(Q14,'Desl. Base Pelotas'!$C$5:$S$13,17,FALSE())/12))</f>
        <v>290.416666666667</v>
      </c>
      <c r="X14" s="25" t="n">
        <f aca="false">VLOOKUP(Q14,'Desl. Base Pelotas'!$C$5:$Q$13,14,FALSE())</f>
        <v>39.2</v>
      </c>
      <c r="Y14" s="25" t="n">
        <f aca="false">VLOOKUP(Q14,'Desl. Base Pelotas'!$C$5:Q$13,13,FALSE())*'Desl. Base Pelotas'!$E$18+'Desl. Base Pelotas'!$E$19*N14/12</f>
        <v>160.392083333333</v>
      </c>
      <c r="Z14" s="25" t="n">
        <f aca="false">(H14/$AC$5)*'Equipe Técnica'!$C$13</f>
        <v>220.997863127511</v>
      </c>
      <c r="AA14" s="25" t="n">
        <f aca="false">(I14/$AC$5)*'Equipe Técnica'!$C$13</f>
        <v>265.197435753013</v>
      </c>
      <c r="AB14" s="25" t="n">
        <f aca="false">(L14/$AC$5)*'Equipe Técnica'!$C$13</f>
        <v>243.097649440262</v>
      </c>
      <c r="AC14" s="25" t="n">
        <f aca="false">(M14/$AC$5)*'Equipe Técnica'!$C$13</f>
        <v>243.097649440262</v>
      </c>
      <c r="AD14" s="25" t="n">
        <f aca="false">R14+(($V14+$W14+$X14+$Y14)*12/19)+$Z14</f>
        <v>707.650893239792</v>
      </c>
      <c r="AE14" s="25" t="n">
        <f aca="false">S14+(($V14+$W14+$X14+$Y14)*12/19)+$AA14</f>
        <v>767.813673465294</v>
      </c>
      <c r="AF14" s="25" t="n">
        <f aca="false">T14+(($V14+$W14+$X14+$Y14)*12/19)+$AB14</f>
        <v>737.732283352543</v>
      </c>
      <c r="AG14" s="25" t="n">
        <f aca="false">U14+(($V14+$W14+$X14+$Y14)*12/19)+$AC14</f>
        <v>737.732283352543</v>
      </c>
      <c r="AH14" s="122"/>
      <c r="AI14" s="23" t="str">
        <f aca="false">B14</f>
        <v>APS TAPES</v>
      </c>
      <c r="AJ14" s="68" t="n">
        <f aca="false">VLOOKUP(AI14,Unidades!D$5:H$27,5,)</f>
        <v>0.2223</v>
      </c>
      <c r="AK14" s="47" t="n">
        <f aca="false">AD14*(1+$AJ14)</f>
        <v>864.961686806997</v>
      </c>
      <c r="AL14" s="47" t="n">
        <f aca="false">AE14*(1+$AJ14)</f>
        <v>938.498653076628</v>
      </c>
      <c r="AM14" s="47" t="n">
        <f aca="false">AF14*(1+$AJ14)</f>
        <v>901.730169941813</v>
      </c>
      <c r="AN14" s="47" t="n">
        <f aca="false">AG14*(1+$AJ14)</f>
        <v>901.730169941813</v>
      </c>
      <c r="AO14" s="47" t="n">
        <f aca="false">((AK14*12)+(AL14*4)+(AM14*2)+AN14)/12</f>
        <v>1403.22711365133</v>
      </c>
      <c r="AP14" s="47" t="n">
        <f aca="false">AO14*$AP$6</f>
        <v>3699.41693598986</v>
      </c>
      <c r="AQ14" s="47" t="n">
        <f aca="false">AO14+AP14</f>
        <v>5102.64404964119</v>
      </c>
      <c r="AR14" s="69"/>
      <c r="AS14" s="72" t="s">
        <v>74</v>
      </c>
      <c r="AT14" s="47" t="n">
        <f aca="false">AT10+AT12</f>
        <v>41960.2236535504</v>
      </c>
      <c r="AU14" s="47"/>
      <c r="AV14" s="71"/>
      <c r="AW14" s="71"/>
    </row>
    <row r="15" customFormat="false" ht="15" hidden="false" customHeight="true" outlineLevel="0" collapsed="false">
      <c r="B15" s="23" t="s">
        <v>140</v>
      </c>
      <c r="C15" s="64" t="n">
        <f aca="false">VLOOKUP($B15,Unidades!$D$5:$N$27,6,FALSE())</f>
        <v>4965.68</v>
      </c>
      <c r="D15" s="64" t="n">
        <f aca="false">VLOOKUP($B15,Unidades!$D$5:$N$27,7,FALSE())</f>
        <v>3104.81</v>
      </c>
      <c r="E15" s="64" t="n">
        <f aca="false">VLOOKUP($B15,Unidades!$D$5:$N$27,8,FALSE())</f>
        <v>1100.62</v>
      </c>
      <c r="F15" s="64" t="n">
        <f aca="false">VLOOKUP($B15,Unidades!$D$5:$N$27,9,FALSE())</f>
        <v>760.25</v>
      </c>
      <c r="G15" s="64" t="n">
        <f aca="false">D15+$E$6*E15+$F$6*F15</f>
        <v>3566.052</v>
      </c>
      <c r="H15" s="65" t="n">
        <f aca="false">IF(G15&lt;750,1.5,IF(G15&lt;2000,2,IF(G15&lt;4000,3,12)))</f>
        <v>3</v>
      </c>
      <c r="I15" s="65" t="n">
        <f aca="false">$I$6*H15</f>
        <v>3.6</v>
      </c>
      <c r="J15" s="65" t="str">
        <f aca="false">VLOOKUP($B15,Unidades!$D$5:$N$27,10,FALSE())</f>
        <v>NÃO</v>
      </c>
      <c r="K15" s="65" t="str">
        <f aca="false">VLOOKUP($B15,Unidades!$D$5:$N$27,11,FALSE())</f>
        <v>SIM</v>
      </c>
      <c r="L15" s="65" t="n">
        <f aca="false">$L$6*H15+(IF(J15="SIM",$J$6,0))</f>
        <v>3.3</v>
      </c>
      <c r="M15" s="65" t="n">
        <f aca="false">$M$6*H15+(IF(J15="SIM",$J$6,0))+(IF(K15="SIM",$K$6,0))</f>
        <v>7.3</v>
      </c>
      <c r="N15" s="65" t="n">
        <f aca="false">H15*12+I15*4+L15*2+M15</f>
        <v>64.3</v>
      </c>
      <c r="O15" s="66" t="n">
        <f aca="false">IF(K15="não", N15*(C$19+D$19),N15*(C$19+D$19)+(M15*+E$19))</f>
        <v>3685.4884956</v>
      </c>
      <c r="P15" s="67"/>
      <c r="Q15" s="23" t="str">
        <f aca="false">B15</f>
        <v>GEX/APS PELOTAS</v>
      </c>
      <c r="R15" s="25" t="n">
        <f aca="false">H15*($C$19+$D$19)</f>
        <v>159.632076</v>
      </c>
      <c r="S15" s="25" t="n">
        <f aca="false">I15*($C$19+$D$19)</f>
        <v>191.5584912</v>
      </c>
      <c r="T15" s="25" t="n">
        <f aca="false">L15*($C$19+$D$19)</f>
        <v>175.5952836</v>
      </c>
      <c r="U15" s="25" t="n">
        <f aca="false">IF(K15="não",M15*($C$19+$D$19),M15*(C$19+D$19+E$19))</f>
        <v>652.4790516</v>
      </c>
      <c r="V15" s="25" t="n">
        <f aca="false">VLOOKUP(Q15,'Desl. Base Pelotas'!$C$5:$S$13,13,FALSE())*($C$19+$D$19+$E$19*(VLOOKUP(Q15,'Desl. Base Pelotas'!$C$5:$S$13,17,FALSE())/12))</f>
        <v>22.9584839555556</v>
      </c>
      <c r="W15" s="25" t="n">
        <f aca="false">VLOOKUP(Q15,'Desl. Base Pelotas'!$C$5:$S$13,15,FALSE())*(2+(VLOOKUP(Q15,'Desl. Base Pelotas'!$C$5:$S$13,17,FALSE())/12))</f>
        <v>0</v>
      </c>
      <c r="X15" s="25" t="n">
        <f aca="false">VLOOKUP(Q15,'Desl. Base Pelotas'!$C$5:$Q$13,14,FALSE())</f>
        <v>0</v>
      </c>
      <c r="Y15" s="25" t="n">
        <f aca="false">VLOOKUP(Q15,'Desl. Base Pelotas'!$C$5:Q$13,13,FALSE())*'Desl. Base Pelotas'!$E$18+'Desl. Base Pelotas'!$E$19*N15/12</f>
        <v>56.5840833333333</v>
      </c>
      <c r="Z15" s="25" t="n">
        <f aca="false">(H15/$AC$5)*'Equipe Técnica'!$C$13</f>
        <v>441.995726255022</v>
      </c>
      <c r="AA15" s="25" t="n">
        <f aca="false">(I15/$AC$5)*'Equipe Técnica'!$C$13</f>
        <v>530.394871506026</v>
      </c>
      <c r="AB15" s="25" t="n">
        <f aca="false">(L15/$AC$5)*'Equipe Técnica'!$C$13</f>
        <v>486.195298880524</v>
      </c>
      <c r="AC15" s="25" t="n">
        <f aca="false">(M15/$AC$5)*'Equipe Técnica'!$C$13</f>
        <v>1075.52293388722</v>
      </c>
      <c r="AD15" s="25" t="n">
        <f aca="false">R15+(($V15+$W15+$X15+$Y15)*12/19)+$Z15</f>
        <v>651.86521317432</v>
      </c>
      <c r="AE15" s="25" t="n">
        <f aca="false">S15+(($V15+$W15+$X15+$Y15)*12/19)+$AA15</f>
        <v>772.190773625324</v>
      </c>
      <c r="AF15" s="25" t="n">
        <f aca="false">T15+(($V15+$W15+$X15+$Y15)*12/19)+$AB15</f>
        <v>712.027993399822</v>
      </c>
      <c r="AG15" s="25" t="n">
        <f aca="false">U15+(($V15+$W15+$X15+$Y15)*12/19)+$AC15</f>
        <v>1778.23939640652</v>
      </c>
      <c r="AH15" s="122"/>
      <c r="AI15" s="23" t="str">
        <f aca="false">B15</f>
        <v>GEX/APS PELOTAS</v>
      </c>
      <c r="AJ15" s="68" t="n">
        <f aca="false">VLOOKUP(AI15,Unidades!D$5:H$27,5,)</f>
        <v>0.242</v>
      </c>
      <c r="AK15" s="47" t="n">
        <f aca="false">AD15*(1+$AJ15)</f>
        <v>809.616594762505</v>
      </c>
      <c r="AL15" s="47" t="n">
        <f aca="false">AE15*(1+$AJ15)</f>
        <v>959.060940842653</v>
      </c>
      <c r="AM15" s="47" t="n">
        <f aca="false">AF15*(1+$AJ15)</f>
        <v>884.338767802579</v>
      </c>
      <c r="AN15" s="47" t="n">
        <f aca="false">AG15*(1+$AJ15)</f>
        <v>2208.57333033689</v>
      </c>
      <c r="AO15" s="47" t="n">
        <f aca="false">((AK15*12)+(AL15*4)+(AM15*2)+AN15)/12</f>
        <v>1460.74114720523</v>
      </c>
      <c r="AP15" s="47" t="n">
        <f aca="false">AO15*$AP$6</f>
        <v>3851.04484263196</v>
      </c>
      <c r="AQ15" s="47" t="n">
        <f aca="false">AO15+AP15</f>
        <v>5311.78598983719</v>
      </c>
      <c r="AR15" s="69"/>
      <c r="AS15" s="72" t="s">
        <v>94</v>
      </c>
      <c r="AT15" s="47" t="n">
        <f aca="false">AT11+AT13</f>
        <v>503522.683842605</v>
      </c>
      <c r="AU15" s="47"/>
      <c r="AV15" s="69"/>
      <c r="AW15" s="69"/>
    </row>
    <row r="16" s="123" customFormat="true" ht="19.5" hidden="false" customHeight="true" outlineLevel="0" collapsed="false">
      <c r="B16" s="124" t="s">
        <v>100</v>
      </c>
      <c r="C16" s="74" t="n">
        <f aca="false">SUM(C7:C15)</f>
        <v>10437.5</v>
      </c>
      <c r="D16" s="74" t="n">
        <f aca="false">SUM(D7:D15)</f>
        <v>7162.06</v>
      </c>
      <c r="E16" s="74" t="n">
        <f aca="false">SUM(E7:E15)</f>
        <v>2024.49</v>
      </c>
      <c r="F16" s="74" t="n">
        <f aca="false">SUM(F7:F15)</f>
        <v>1929.91</v>
      </c>
      <c r="G16" s="74" t="n">
        <f aca="false">SUM(G7:G15)</f>
        <v>8063.6225</v>
      </c>
      <c r="H16" s="75" t="n">
        <f aca="false">SUM(H7:H15)</f>
        <v>15.5</v>
      </c>
      <c r="I16" s="75" t="n">
        <f aca="false">SUM(I7:I15)</f>
        <v>18.6</v>
      </c>
      <c r="J16" s="75" t="n">
        <f aca="false">COUNTIF(J7:J15,"SIM")</f>
        <v>0</v>
      </c>
      <c r="K16" s="75" t="n">
        <f aca="false">COUNTIF(K7:K15,"SIM")</f>
        <v>4</v>
      </c>
      <c r="L16" s="75" t="n">
        <f aca="false">SUM(L7:L15)</f>
        <v>17.05</v>
      </c>
      <c r="M16" s="75" t="n">
        <f aca="false">SUM(M7:M15)</f>
        <v>33.05</v>
      </c>
      <c r="N16" s="75" t="n">
        <f aca="false">SUM(N7:N15)</f>
        <v>327.55</v>
      </c>
      <c r="O16" s="76" t="n">
        <f aca="false">SUM(O7:O15)</f>
        <v>18326.1781646</v>
      </c>
      <c r="P16" s="125"/>
      <c r="Q16" s="126" t="s">
        <v>100</v>
      </c>
      <c r="R16" s="78" t="n">
        <f aca="false">SUM(R7:R15)</f>
        <v>824.765726</v>
      </c>
      <c r="S16" s="78" t="n">
        <f aca="false">SUM(S7:S15)</f>
        <v>989.7188712</v>
      </c>
      <c r="T16" s="78" t="n">
        <f aca="false">SUM(T7:T15)</f>
        <v>907.2422986</v>
      </c>
      <c r="U16" s="78" t="n">
        <f aca="false">SUM(U7:U15)</f>
        <v>2655.6293706</v>
      </c>
      <c r="V16" s="78" t="n">
        <f aca="false">SUM(V7:V15)</f>
        <v>1185.12301688889</v>
      </c>
      <c r="W16" s="78" t="n">
        <f aca="false">SUM(W7:W15)</f>
        <v>1138.43333333333</v>
      </c>
      <c r="X16" s="78" t="n">
        <f aca="false">SUM(X7:X15)</f>
        <v>196</v>
      </c>
      <c r="Y16" s="78" t="n">
        <f aca="false">SUM(Y7:Y15)</f>
        <v>1307.59566666667</v>
      </c>
      <c r="Z16" s="78" t="n">
        <f aca="false">SUM(Z7:Z15)</f>
        <v>2283.64458565094</v>
      </c>
      <c r="AA16" s="78" t="n">
        <f aca="false">SUM(AA7:AA15)</f>
        <v>2740.37350278113</v>
      </c>
      <c r="AB16" s="78" t="n">
        <f aca="false">SUM(AB7:AB15)</f>
        <v>2512.00904421604</v>
      </c>
      <c r="AC16" s="78" t="n">
        <f aca="false">SUM(AC7:AC15)</f>
        <v>4869.31958424282</v>
      </c>
      <c r="AD16" s="78" t="n">
        <f aca="false">SUM(AD7:AD15)</f>
        <v>5525.55895389656</v>
      </c>
      <c r="AE16" s="78" t="n">
        <f aca="false">SUM(AE7:AE15)</f>
        <v>6147.24101622675</v>
      </c>
      <c r="AF16" s="78" t="n">
        <f aca="false">SUM(AF7:AF15)</f>
        <v>5836.39998506165</v>
      </c>
      <c r="AG16" s="78" t="n">
        <f aca="false">SUM(AG7:AG15)</f>
        <v>9942.09759708844</v>
      </c>
      <c r="AH16" s="40"/>
      <c r="AI16" s="75" t="s">
        <v>100</v>
      </c>
      <c r="AJ16" s="75"/>
      <c r="AK16" s="79" t="n">
        <f aca="false">SUM(AK7:AK15)</f>
        <v>6800.24500782425</v>
      </c>
      <c r="AL16" s="79" t="n">
        <f aca="false">SUM(AL7:AL15)</f>
        <v>7565.92467919817</v>
      </c>
      <c r="AM16" s="79" t="n">
        <f aca="false">SUM(AM7:AM15)</f>
        <v>7183.08484351122</v>
      </c>
      <c r="AN16" s="79" t="n">
        <f aca="false">SUM(AN7:AN15)</f>
        <v>12235.9295590102</v>
      </c>
      <c r="AO16" s="79" t="n">
        <f aca="false">SUM(AO7:AO15)</f>
        <v>11539.0615047264</v>
      </c>
      <c r="AP16" s="79" t="n">
        <f aca="false">SUM(AP7:AP15)</f>
        <v>30421.162148824</v>
      </c>
      <c r="AQ16" s="79" t="n">
        <f aca="false">SUM(AQ7:AQ15)</f>
        <v>41960.2236535504</v>
      </c>
      <c r="AR16" s="69"/>
      <c r="AS16" s="69"/>
      <c r="AT16" s="69"/>
      <c r="AU16" s="69"/>
      <c r="AV16" s="69"/>
      <c r="AW16" s="69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</row>
    <row r="17" customFormat="false" ht="18" hidden="false" customHeight="true" outlineLevel="0" collapsed="false">
      <c r="B17" s="2"/>
      <c r="C17" s="2"/>
      <c r="D17" s="2"/>
      <c r="E17" s="2"/>
      <c r="F17" s="2"/>
      <c r="G17" s="2"/>
      <c r="H17" s="80"/>
      <c r="I17" s="2"/>
      <c r="J17" s="2"/>
      <c r="O17" s="2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D17" s="55"/>
      <c r="AE17" s="55"/>
      <c r="AF17" s="55"/>
      <c r="AG17" s="55"/>
      <c r="AH17" s="55"/>
      <c r="AS17" s="127"/>
      <c r="AT17" s="127"/>
      <c r="AU17" s="127"/>
      <c r="AV17" s="127"/>
      <c r="AW17" s="127"/>
    </row>
    <row r="18" customFormat="false" ht="39.75" hidden="false" customHeight="true" outlineLevel="0" collapsed="false">
      <c r="B18" s="46" t="s">
        <v>30</v>
      </c>
      <c r="C18" s="82" t="str">
        <f aca="false">'Base Porto Alegre'!C23</f>
        <v>Oficial de Manutenção Predial</v>
      </c>
      <c r="D18" s="82" t="str">
        <f aca="false">'Base Porto Alegre'!D23</f>
        <v>Ajudante (ref. SINAPI/88241)</v>
      </c>
      <c r="E18" s="128" t="str">
        <f aca="false">'Base Porto Alegre'!E23</f>
        <v>Eletrotécnico (ref. SINAPI/88266)</v>
      </c>
      <c r="N18" s="129"/>
      <c r="O18" s="130"/>
      <c r="R18" s="83"/>
      <c r="Z18" s="83"/>
      <c r="AA18" s="83"/>
      <c r="AB18" s="83"/>
      <c r="AC18" s="83"/>
    </row>
    <row r="19" customFormat="false" ht="18" hidden="false" customHeight="true" outlineLevel="0" collapsed="false">
      <c r="B19" s="46"/>
      <c r="C19" s="25" t="n">
        <f aca="false">'Base Porto Alegre'!C24</f>
        <v>28.820692</v>
      </c>
      <c r="D19" s="25" t="n">
        <f aca="false">'Base Porto Alegre'!D24</f>
        <v>24.39</v>
      </c>
      <c r="E19" s="25" t="n">
        <f aca="false">'Base Porto Alegre'!E24</f>
        <v>36.17</v>
      </c>
      <c r="N19" s="129"/>
      <c r="O19" s="130"/>
    </row>
    <row r="20" customFormat="false" ht="40.5" hidden="false" customHeight="true" outlineLevel="0" collapsed="false">
      <c r="B20" s="50" t="str">
        <f aca="false">'Base Porto Alegre'!B25</f>
        <v>* Tabela SINAPI Janeiro/2025 (Não Desonerado)</v>
      </c>
      <c r="N20" s="130"/>
      <c r="O20" s="130"/>
    </row>
    <row r="21" customFormat="false" ht="14.25" hidden="false" customHeight="false" outlineLevel="0" collapsed="false">
      <c r="N21" s="130"/>
      <c r="O21" s="130"/>
    </row>
    <row r="22" customFormat="false" ht="14.25" hidden="false" customHeight="false" outlineLevel="0" collapsed="false">
      <c r="N22" s="130"/>
      <c r="O22" s="130"/>
    </row>
    <row r="23" customFormat="false" ht="15.75" hidden="false" customHeight="true" outlineLevel="0" collapsed="false">
      <c r="N23" s="130"/>
      <c r="O23" s="130"/>
    </row>
    <row r="24" customFormat="false" ht="14.25" hidden="false" customHeight="false" outlineLevel="0" collapsed="false">
      <c r="N24" s="130"/>
      <c r="O24" s="130"/>
    </row>
    <row r="25" customFormat="false" ht="14.25" hidden="false" customHeight="false" outlineLevel="0" collapsed="false">
      <c r="N25" s="130"/>
      <c r="O25" s="130"/>
    </row>
    <row r="26" customFormat="false" ht="14.25" hidden="false" customHeight="false" outlineLevel="0" collapsed="false">
      <c r="N26" s="130"/>
      <c r="O26" s="130"/>
    </row>
    <row r="27" customFormat="false" ht="14.25" hidden="false" customHeight="false" outlineLevel="0" collapsed="false">
      <c r="N27" s="130"/>
      <c r="O27" s="130"/>
    </row>
    <row r="28" customFormat="false" ht="14.25" hidden="false" customHeight="false" outlineLevel="0" collapsed="false">
      <c r="N28" s="130"/>
      <c r="O28" s="130"/>
    </row>
    <row r="65526" customFormat="false" ht="12.75" hidden="false" customHeight="true" outlineLevel="0" collapsed="false"/>
    <row r="65527" customFormat="false" ht="12.75" hidden="false" customHeight="true" outlineLevel="0" collapsed="false"/>
    <row r="65528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6:AJ16"/>
    <mergeCell ref="B18:B19"/>
    <mergeCell ref="N18:N19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48"/>
  <sheetViews>
    <sheetView showFormulas="false" showGridLines="false" showRowColHeaders="true" showZeros="true" rightToLeft="false" tabSelected="false" showOutlineSymbols="true" defaultGridColor="true" view="normal" topLeftCell="B1" colorId="64" zoomScale="110" zoomScaleNormal="110" zoomScalePageLayoutView="100" workbookViewId="0">
      <selection pane="topLeft" activeCell="Q9" activeCellId="0" sqref="Q9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5" width="12.62"/>
    <col collapsed="false" customWidth="true" hidden="false" outlineLevel="0" max="3" min="3" style="85" width="32.62"/>
    <col collapsed="false" customWidth="true" hidden="false" outlineLevel="0" max="17" min="4" style="85" width="9.62"/>
    <col collapsed="false" customWidth="true" hidden="false" outlineLevel="0" max="18" min="18" style="85" width="10.75"/>
    <col collapsed="false" customWidth="true" hidden="false" outlineLevel="0" max="19" min="19" style="85" width="13.88"/>
    <col collapsed="false" customWidth="true" hidden="false" outlineLevel="0" max="66" min="20" style="85" width="10.75"/>
    <col collapsed="false" customWidth="true" hidden="false" outlineLevel="0" max="257" min="67" style="84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9" t="str">
        <f aca="false">"DESLOCAMENTO BASE "&amp;Resumo!B6</f>
        <v>DESLOCAMENTO BASE PELOTAS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customFormat="false" ht="15" hidden="false" customHeight="true" outlineLevel="0" collapsed="false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</row>
    <row r="4" customFormat="false" ht="38.25" hidden="false" customHeight="false" outlineLevel="0" collapsed="false">
      <c r="B4" s="22" t="s">
        <v>104</v>
      </c>
      <c r="C4" s="22" t="str">
        <f aca="false">"Rota (saída e retorno "&amp;Resumo!B6&amp;")"</f>
        <v>Rota (saída e retorno PELOTAS)</v>
      </c>
      <c r="D4" s="22" t="s">
        <v>105</v>
      </c>
      <c r="E4" s="22" t="s">
        <v>106</v>
      </c>
      <c r="F4" s="22" t="s">
        <v>107</v>
      </c>
      <c r="G4" s="22" t="s">
        <v>108</v>
      </c>
      <c r="H4" s="22" t="s">
        <v>109</v>
      </c>
      <c r="I4" s="22" t="s">
        <v>110</v>
      </c>
      <c r="J4" s="22" t="s">
        <v>111</v>
      </c>
      <c r="K4" s="22" t="s">
        <v>112</v>
      </c>
      <c r="L4" s="22" t="s">
        <v>113</v>
      </c>
      <c r="M4" s="87" t="s">
        <v>141</v>
      </c>
      <c r="N4" s="22" t="s">
        <v>115</v>
      </c>
      <c r="O4" s="22" t="s">
        <v>116</v>
      </c>
      <c r="P4" s="22" t="s">
        <v>117</v>
      </c>
      <c r="Q4" s="22" t="s">
        <v>67</v>
      </c>
      <c r="R4" s="33" t="s">
        <v>118</v>
      </c>
      <c r="S4" s="33" t="s">
        <v>119</v>
      </c>
    </row>
    <row r="5" customFormat="false" ht="15.75" hidden="false" customHeight="true" outlineLevel="0" collapsed="false">
      <c r="B5" s="88" t="n">
        <v>1</v>
      </c>
      <c r="C5" s="89" t="s">
        <v>140</v>
      </c>
      <c r="D5" s="90" t="n">
        <v>20.1</v>
      </c>
      <c r="E5" s="90" t="n">
        <v>21.1</v>
      </c>
      <c r="F5" s="90" t="n">
        <v>0</v>
      </c>
      <c r="G5" s="91" t="n">
        <f aca="false">SUM(D5:F6)</f>
        <v>41.2</v>
      </c>
      <c r="H5" s="90" t="n">
        <v>24</v>
      </c>
      <c r="I5" s="90" t="n">
        <v>25</v>
      </c>
      <c r="J5" s="90" t="n">
        <v>0</v>
      </c>
      <c r="K5" s="93" t="n">
        <f aca="false">SUM(H5:J6)</f>
        <v>49</v>
      </c>
      <c r="L5" s="94" t="n">
        <f aca="false">K5/60</f>
        <v>0.816666666666667</v>
      </c>
      <c r="M5" s="95" t="n">
        <v>0</v>
      </c>
      <c r="N5" s="93" t="n">
        <v>2</v>
      </c>
      <c r="O5" s="131" t="n">
        <f aca="false">L5/N5</f>
        <v>0.408333333333333</v>
      </c>
      <c r="P5" s="97" t="n">
        <v>0</v>
      </c>
      <c r="Q5" s="97" t="n">
        <v>0</v>
      </c>
      <c r="R5" s="98" t="str">
        <f aca="false">INDEX('Base Pelotas'!$K$7:$K$15,MATCH('Desl. Base Pelotas'!C5,'Base Pelotas'!$B$7:$B$15,0))</f>
        <v>SIM</v>
      </c>
      <c r="S5" s="98" t="n">
        <v>1</v>
      </c>
    </row>
    <row r="6" customFormat="false" ht="15.75" hidden="false" customHeight="true" outlineLevel="0" collapsed="false">
      <c r="B6" s="88"/>
      <c r="C6" s="89" t="s">
        <v>133</v>
      </c>
      <c r="D6" s="90"/>
      <c r="E6" s="90"/>
      <c r="F6" s="90"/>
      <c r="G6" s="91"/>
      <c r="H6" s="90"/>
      <c r="I6" s="90"/>
      <c r="J6" s="90"/>
      <c r="K6" s="93"/>
      <c r="L6" s="94"/>
      <c r="M6" s="95"/>
      <c r="N6" s="93"/>
      <c r="O6" s="131" t="n">
        <f aca="false">O5</f>
        <v>0.408333333333333</v>
      </c>
      <c r="P6" s="97" t="n">
        <v>0</v>
      </c>
      <c r="Q6" s="97" t="n">
        <v>0</v>
      </c>
      <c r="R6" s="98" t="str">
        <f aca="false">INDEX('Base Pelotas'!$K$7:$K$15,MATCH('Desl. Base Pelotas'!C6,'Base Pelotas'!$B$7:$B$15,0))</f>
        <v>NÃO</v>
      </c>
      <c r="S6" s="98" t="n">
        <v>1</v>
      </c>
    </row>
    <row r="7" customFormat="false" ht="15.75" hidden="false" customHeight="true" outlineLevel="0" collapsed="false">
      <c r="B7" s="88" t="n">
        <v>2</v>
      </c>
      <c r="C7" s="89" t="s">
        <v>137</v>
      </c>
      <c r="D7" s="90" t="n">
        <v>75.7</v>
      </c>
      <c r="E7" s="90" t="n">
        <f aca="false">105-D7</f>
        <v>29.3</v>
      </c>
      <c r="F7" s="90" t="n">
        <v>61.5</v>
      </c>
      <c r="G7" s="91" t="n">
        <f aca="false">SUM(D7:F8)</f>
        <v>166.5</v>
      </c>
      <c r="H7" s="90" t="n">
        <v>102</v>
      </c>
      <c r="I7" s="90" t="n">
        <f aca="false">173-H7</f>
        <v>71</v>
      </c>
      <c r="J7" s="90" t="n">
        <v>60</v>
      </c>
      <c r="K7" s="93" t="n">
        <f aca="false">SUM(H7:J8)</f>
        <v>233</v>
      </c>
      <c r="L7" s="94" t="n">
        <f aca="false">K7/60</f>
        <v>3.88333333333333</v>
      </c>
      <c r="M7" s="95" t="n">
        <v>39.2</v>
      </c>
      <c r="N7" s="93" t="n">
        <v>2</v>
      </c>
      <c r="O7" s="131" t="n">
        <f aca="false">L7/N7</f>
        <v>1.94166666666667</v>
      </c>
      <c r="P7" s="132" t="n">
        <f aca="false">M7/N7</f>
        <v>19.6</v>
      </c>
      <c r="Q7" s="97" t="n">
        <v>0</v>
      </c>
      <c r="R7" s="98" t="str">
        <f aca="false">INDEX('Base Pelotas'!$K$7:$K$15,MATCH('Desl. Base Pelotas'!C7,'Base Pelotas'!$B$7:$B$15,0))</f>
        <v>NÃO</v>
      </c>
      <c r="S7" s="98" t="n">
        <v>1</v>
      </c>
    </row>
    <row r="8" customFormat="false" ht="15.75" hidden="false" customHeight="true" outlineLevel="0" collapsed="false">
      <c r="B8" s="88"/>
      <c r="C8" s="89" t="s">
        <v>135</v>
      </c>
      <c r="D8" s="90"/>
      <c r="E8" s="90"/>
      <c r="F8" s="90"/>
      <c r="G8" s="91"/>
      <c r="H8" s="90"/>
      <c r="I8" s="90"/>
      <c r="J8" s="90"/>
      <c r="K8" s="93"/>
      <c r="L8" s="94"/>
      <c r="M8" s="95"/>
      <c r="N8" s="93"/>
      <c r="O8" s="131" t="n">
        <f aca="false">O7</f>
        <v>1.94166666666667</v>
      </c>
      <c r="P8" s="132" t="n">
        <f aca="false">P7</f>
        <v>19.6</v>
      </c>
      <c r="Q8" s="97" t="n">
        <v>0</v>
      </c>
      <c r="R8" s="98" t="str">
        <f aca="false">INDEX('Base Pelotas'!$K$7:$K$15,MATCH('Desl. Base Pelotas'!C8,'Base Pelotas'!$B$7:$B$15,0))</f>
        <v>SIM</v>
      </c>
      <c r="S8" s="98" t="n">
        <v>1</v>
      </c>
    </row>
    <row r="9" customFormat="false" ht="15.75" hidden="false" customHeight="true" outlineLevel="0" collapsed="false">
      <c r="B9" s="88" t="n">
        <v>3</v>
      </c>
      <c r="C9" s="89" t="s">
        <v>132</v>
      </c>
      <c r="D9" s="90" t="n">
        <v>94</v>
      </c>
      <c r="E9" s="90" t="n">
        <f aca="false">150-D9</f>
        <v>56</v>
      </c>
      <c r="F9" s="90" t="n">
        <v>185</v>
      </c>
      <c r="G9" s="91" t="n">
        <f aca="false">SUM(D9:F10)</f>
        <v>335</v>
      </c>
      <c r="H9" s="90" t="n">
        <v>107</v>
      </c>
      <c r="I9" s="90" t="n">
        <v>80</v>
      </c>
      <c r="J9" s="90" t="n">
        <v>142</v>
      </c>
      <c r="K9" s="93" t="n">
        <f aca="false">SUM(H9:J10)</f>
        <v>329</v>
      </c>
      <c r="L9" s="94" t="n">
        <f aca="false">K9/60</f>
        <v>5.48333333333333</v>
      </c>
      <c r="M9" s="95" t="n">
        <v>78.4</v>
      </c>
      <c r="N9" s="93" t="n">
        <v>2</v>
      </c>
      <c r="O9" s="131" t="n">
        <f aca="false">L9/N9</f>
        <v>2.74166666666667</v>
      </c>
      <c r="P9" s="132" t="n">
        <f aca="false">M9/N9</f>
        <v>39.2</v>
      </c>
      <c r="Q9" s="97" t="n">
        <f aca="false">(E34/N9)*2</f>
        <v>139.4</v>
      </c>
      <c r="R9" s="98" t="str">
        <f aca="false">INDEX('Base Pelotas'!$K$7:$K$15,MATCH('Desl. Base Pelotas'!C9,'Base Pelotas'!$B$7:$B$15,0))</f>
        <v>SIM</v>
      </c>
      <c r="S9" s="98" t="n">
        <v>1</v>
      </c>
    </row>
    <row r="10" customFormat="false" ht="15.75" hidden="false" customHeight="true" outlineLevel="0" collapsed="false">
      <c r="B10" s="88"/>
      <c r="C10" s="89" t="s">
        <v>139</v>
      </c>
      <c r="D10" s="90"/>
      <c r="E10" s="90"/>
      <c r="F10" s="90"/>
      <c r="G10" s="91"/>
      <c r="H10" s="90"/>
      <c r="I10" s="90"/>
      <c r="J10" s="90"/>
      <c r="K10" s="93"/>
      <c r="L10" s="94"/>
      <c r="M10" s="95" t="n">
        <v>0</v>
      </c>
      <c r="N10" s="93"/>
      <c r="O10" s="131" t="n">
        <f aca="false">O9</f>
        <v>2.74166666666667</v>
      </c>
      <c r="P10" s="132" t="n">
        <f aca="false">P9</f>
        <v>39.2</v>
      </c>
      <c r="Q10" s="97" t="n">
        <f aca="false">Q9</f>
        <v>139.4</v>
      </c>
      <c r="R10" s="98" t="str">
        <f aca="false">INDEX('Base Pelotas'!$K$7:$K$15,MATCH('Desl. Base Pelotas'!C10,'Base Pelotas'!$B$7:$B$15,0))</f>
        <v>NÃO</v>
      </c>
      <c r="S10" s="98" t="n">
        <v>1</v>
      </c>
    </row>
    <row r="11" customFormat="false" ht="15.75" hidden="false" customHeight="true" outlineLevel="0" collapsed="false">
      <c r="B11" s="88" t="n">
        <v>4</v>
      </c>
      <c r="C11" s="133" t="s">
        <v>134</v>
      </c>
      <c r="D11" s="90" t="n">
        <v>141</v>
      </c>
      <c r="E11" s="90" t="n">
        <v>142</v>
      </c>
      <c r="F11" s="90" t="n">
        <v>0</v>
      </c>
      <c r="G11" s="91" t="n">
        <f aca="false">SUM(D11:F11)</f>
        <v>283</v>
      </c>
      <c r="H11" s="90" t="n">
        <v>100</v>
      </c>
      <c r="I11" s="90" t="n">
        <v>107</v>
      </c>
      <c r="J11" s="90" t="n">
        <v>0</v>
      </c>
      <c r="K11" s="93" t="n">
        <f aca="false">SUM(H11:J11)</f>
        <v>207</v>
      </c>
      <c r="L11" s="134" t="n">
        <f aca="false">K11/60</f>
        <v>3.45</v>
      </c>
      <c r="M11" s="95" t="n">
        <v>0</v>
      </c>
      <c r="N11" s="93" t="n">
        <v>1</v>
      </c>
      <c r="O11" s="131" t="n">
        <f aca="false">L11/N11</f>
        <v>3.45</v>
      </c>
      <c r="P11" s="132" t="n">
        <f aca="false">M11/N11</f>
        <v>0</v>
      </c>
      <c r="Q11" s="97" t="n">
        <v>0</v>
      </c>
      <c r="R11" s="98" t="str">
        <f aca="false">INDEX('Base Pelotas'!$K$7:$K$15,MATCH('Desl. Base Pelotas'!C11,'Base Pelotas'!$B$7:$B$15,0))</f>
        <v>SIM</v>
      </c>
      <c r="S11" s="98" t="n">
        <v>1</v>
      </c>
    </row>
    <row r="12" customFormat="false" ht="15.75" hidden="false" customHeight="true" outlineLevel="0" collapsed="false">
      <c r="B12" s="88" t="n">
        <v>5</v>
      </c>
      <c r="C12" s="135" t="s">
        <v>136</v>
      </c>
      <c r="D12" s="90" t="n">
        <v>240</v>
      </c>
      <c r="E12" s="90" t="n">
        <v>241</v>
      </c>
      <c r="F12" s="90" t="n">
        <v>0</v>
      </c>
      <c r="G12" s="91" t="n">
        <f aca="false">SUM(D12:F12)</f>
        <v>481</v>
      </c>
      <c r="H12" s="90" t="n">
        <v>173</v>
      </c>
      <c r="I12" s="90" t="n">
        <v>175</v>
      </c>
      <c r="J12" s="90" t="n">
        <v>0</v>
      </c>
      <c r="K12" s="93" t="n">
        <f aca="false">SUM(H12:J12)</f>
        <v>348</v>
      </c>
      <c r="L12" s="134" t="n">
        <f aca="false">K12/60</f>
        <v>5.8</v>
      </c>
      <c r="M12" s="95" t="n">
        <v>39.2</v>
      </c>
      <c r="N12" s="93" t="n">
        <v>1</v>
      </c>
      <c r="O12" s="131" t="n">
        <f aca="false">L12/N12</f>
        <v>5.8</v>
      </c>
      <c r="P12" s="132" t="n">
        <f aca="false">M12/N12</f>
        <v>39.2</v>
      </c>
      <c r="Q12" s="97" t="n">
        <f aca="false">E34*2</f>
        <v>278.8</v>
      </c>
      <c r="R12" s="98" t="str">
        <f aca="false">INDEX('Base Pelotas'!$K$7:$K$15,MATCH('Desl. Base Pelotas'!C12,'Base Pelotas'!$B$7:$B$15,0))</f>
        <v>NÃO</v>
      </c>
      <c r="S12" s="98" t="n">
        <v>0</v>
      </c>
    </row>
    <row r="13" customFormat="false" ht="15.75" hidden="false" customHeight="true" outlineLevel="0" collapsed="false">
      <c r="B13" s="88" t="n">
        <v>6</v>
      </c>
      <c r="C13" s="89" t="s">
        <v>138</v>
      </c>
      <c r="D13" s="90" t="n">
        <v>73.8</v>
      </c>
      <c r="E13" s="90" t="n">
        <v>74.5</v>
      </c>
      <c r="F13" s="90" t="n">
        <v>0</v>
      </c>
      <c r="G13" s="91" t="n">
        <f aca="false">SUM(D13:F13)</f>
        <v>148.3</v>
      </c>
      <c r="H13" s="90" t="n">
        <v>62</v>
      </c>
      <c r="I13" s="90" t="n">
        <v>62</v>
      </c>
      <c r="J13" s="90" t="n">
        <v>0</v>
      </c>
      <c r="K13" s="93" t="n">
        <f aca="false">SUM(H13:J13)</f>
        <v>124</v>
      </c>
      <c r="L13" s="134" t="n">
        <f aca="false">K13/60</f>
        <v>2.06666666666667</v>
      </c>
      <c r="M13" s="95" t="n">
        <v>39.2</v>
      </c>
      <c r="N13" s="93" t="n">
        <v>1</v>
      </c>
      <c r="O13" s="131" t="n">
        <f aca="false">L13/N13</f>
        <v>2.06666666666667</v>
      </c>
      <c r="P13" s="132" t="n">
        <f aca="false">M13/N13</f>
        <v>39.2</v>
      </c>
      <c r="Q13" s="97" t="n">
        <v>0</v>
      </c>
      <c r="R13" s="98" t="str">
        <f aca="false">INDEX('Base Pelotas'!$K$7:$K$15,MATCH('Desl. Base Pelotas'!C13,'Base Pelotas'!$B$7:$B$15,0))</f>
        <v>NÃO</v>
      </c>
      <c r="S13" s="98" t="n">
        <v>0</v>
      </c>
    </row>
    <row r="14" customFormat="false" ht="21" hidden="false" customHeight="true" outlineLevel="0" collapsed="false">
      <c r="B14" s="99" t="s">
        <v>100</v>
      </c>
      <c r="C14" s="99"/>
      <c r="D14" s="99"/>
      <c r="E14" s="99"/>
      <c r="F14" s="99"/>
      <c r="G14" s="101" t="n">
        <f aca="false">SUM(G5:G13)</f>
        <v>1455</v>
      </c>
      <c r="H14" s="101" t="s">
        <v>100</v>
      </c>
      <c r="I14" s="101"/>
      <c r="J14" s="101"/>
      <c r="K14" s="101" t="n">
        <f aca="false">SUM(K5:K13)</f>
        <v>1290</v>
      </c>
      <c r="L14" s="101" t="n">
        <f aca="false">SUM(L5:L13)</f>
        <v>21.5</v>
      </c>
      <c r="M14" s="104" t="n">
        <f aca="false">SUM(M5:M13)</f>
        <v>196</v>
      </c>
      <c r="N14" s="102" t="n">
        <f aca="false">SUM(N5:N13)</f>
        <v>9</v>
      </c>
      <c r="O14" s="101"/>
      <c r="P14" s="104"/>
      <c r="Q14" s="104" t="n">
        <f aca="false">SUM(Q5:Q13)</f>
        <v>557.6</v>
      </c>
      <c r="R14" s="104"/>
      <c r="S14" s="104"/>
    </row>
    <row r="15" customFormat="false" ht="15.75" hidden="false" customHeight="true" outlineLevel="0" collapsed="false">
      <c r="B15" s="106"/>
      <c r="C15" s="106"/>
      <c r="D15" s="106"/>
      <c r="E15" s="106"/>
      <c r="F15" s="84"/>
      <c r="G15" s="84"/>
      <c r="H15" s="84"/>
      <c r="I15" s="84"/>
      <c r="J15" s="84"/>
      <c r="K15" s="84"/>
      <c r="L15" s="84"/>
      <c r="M15" s="84"/>
      <c r="N15" s="84"/>
    </row>
    <row r="16" customFormat="false" ht="18.75" hidden="false" customHeight="true" outlineLevel="0" collapsed="false">
      <c r="B16" s="107" t="s">
        <v>120</v>
      </c>
      <c r="C16" s="107"/>
      <c r="D16" s="107"/>
      <c r="E16" s="107"/>
      <c r="F16" s="106"/>
      <c r="G16" s="106"/>
      <c r="H16" s="106"/>
      <c r="I16" s="106"/>
      <c r="J16" s="106"/>
      <c r="K16" s="106"/>
      <c r="L16" s="106"/>
      <c r="M16" s="106"/>
      <c r="N16" s="106"/>
    </row>
    <row r="17" customFormat="false" ht="18.75" hidden="false" customHeight="true" outlineLevel="0" collapsed="false">
      <c r="B17" s="98" t="s">
        <v>121</v>
      </c>
      <c r="C17" s="98" t="s">
        <v>122</v>
      </c>
      <c r="D17" s="98" t="s">
        <v>123</v>
      </c>
      <c r="E17" s="98" t="s">
        <v>124</v>
      </c>
      <c r="F17" s="106"/>
      <c r="G17" s="108"/>
      <c r="H17" s="108"/>
      <c r="I17" s="106"/>
      <c r="J17" s="106"/>
      <c r="K17" s="106"/>
      <c r="L17" s="106"/>
      <c r="M17" s="106"/>
      <c r="N17" s="106"/>
    </row>
    <row r="18" customFormat="false" ht="18.75" hidden="false" customHeight="true" outlineLevel="0" collapsed="false">
      <c r="B18" s="49" t="s">
        <v>125</v>
      </c>
      <c r="C18" s="110" t="s">
        <v>126</v>
      </c>
      <c r="D18" s="49" t="s">
        <v>127</v>
      </c>
      <c r="E18" s="111" t="n">
        <f aca="false">'Desl. Base Porto Alegre'!E23</f>
        <v>52.49</v>
      </c>
      <c r="F18" s="106"/>
      <c r="G18" s="112"/>
      <c r="H18" s="112"/>
      <c r="I18" s="106"/>
      <c r="J18" s="106"/>
      <c r="K18" s="136"/>
      <c r="L18" s="136"/>
    </row>
    <row r="19" customFormat="false" ht="18.75" hidden="false" customHeight="true" outlineLevel="0" collapsed="false">
      <c r="B19" s="113" t="s">
        <v>128</v>
      </c>
      <c r="C19" s="114" t="s">
        <v>126</v>
      </c>
      <c r="D19" s="113" t="s">
        <v>129</v>
      </c>
      <c r="E19" s="115" t="n">
        <f aca="false">'Desl. Base Porto Alegre'!E24</f>
        <v>6.56</v>
      </c>
      <c r="F19" s="106"/>
      <c r="G19" s="112"/>
      <c r="H19" s="112"/>
      <c r="I19" s="106"/>
      <c r="J19" s="106"/>
      <c r="K19" s="136"/>
      <c r="L19" s="136"/>
    </row>
    <row r="20" customFormat="false" ht="47.25" hidden="false" customHeight="true" outlineLevel="0" collapsed="false">
      <c r="B20" s="116" t="s">
        <v>130</v>
      </c>
      <c r="C20" s="116"/>
      <c r="D20" s="116"/>
      <c r="E20" s="116"/>
      <c r="F20" s="117"/>
      <c r="G20" s="117"/>
      <c r="H20" s="117"/>
      <c r="I20" s="117"/>
      <c r="J20" s="117"/>
      <c r="K20" s="117"/>
      <c r="L20" s="136"/>
    </row>
    <row r="21" customFormat="false" ht="18.75" hidden="false" customHeight="true" outlineLevel="0" collapsed="false">
      <c r="B21" s="118"/>
      <c r="C21" s="118"/>
      <c r="D21" s="118"/>
      <c r="E21" s="118"/>
      <c r="F21" s="117"/>
      <c r="G21" s="117"/>
      <c r="H21" s="117"/>
      <c r="I21" s="117"/>
      <c r="J21" s="117"/>
      <c r="K21" s="117"/>
      <c r="L21" s="136"/>
    </row>
    <row r="22" customFormat="false" ht="15.75" hidden="false" customHeight="true" outlineLevel="0" collapsed="false">
      <c r="B22" s="107" t="s">
        <v>131</v>
      </c>
      <c r="C22" s="107"/>
      <c r="D22" s="106"/>
      <c r="E22" s="106"/>
      <c r="F22" s="106"/>
      <c r="G22" s="106"/>
      <c r="H22" s="106"/>
      <c r="I22" s="106"/>
      <c r="J22" s="106"/>
      <c r="K22" s="106"/>
      <c r="L22" s="106"/>
    </row>
    <row r="23" customFormat="false" ht="15.75" hidden="false" customHeight="true" outlineLevel="0" collapsed="false">
      <c r="B23" s="137" t="s">
        <v>127</v>
      </c>
      <c r="C23" s="138" t="n">
        <f aca="false">E18*L14</f>
        <v>1128.535</v>
      </c>
      <c r="D23" s="106"/>
      <c r="E23" s="106"/>
      <c r="F23" s="106"/>
      <c r="G23" s="106"/>
      <c r="H23" s="106"/>
      <c r="I23" s="106"/>
      <c r="J23" s="106"/>
    </row>
    <row r="24" customFormat="false" ht="15.75" hidden="false" customHeight="true" outlineLevel="0" collapsed="false">
      <c r="B24" s="49" t="s">
        <v>129</v>
      </c>
      <c r="C24" s="111" t="n">
        <f aca="false">E19*('Base Pelotas'!N16/12)</f>
        <v>179.060666666667</v>
      </c>
      <c r="D24" s="106"/>
      <c r="E24" s="106"/>
      <c r="F24" s="106"/>
      <c r="G24" s="106"/>
      <c r="H24" s="106"/>
      <c r="I24" s="106"/>
      <c r="J24" s="106"/>
    </row>
    <row r="25" customFormat="false" ht="15.75" hidden="false" customHeight="true" outlineLevel="0" collapsed="false">
      <c r="B25" s="119" t="s">
        <v>28</v>
      </c>
      <c r="C25" s="120" t="n">
        <f aca="false">C23+C24</f>
        <v>1307.59566666667</v>
      </c>
      <c r="D25" s="106"/>
      <c r="E25" s="106"/>
      <c r="F25" s="106"/>
      <c r="G25" s="106"/>
      <c r="H25" s="106"/>
      <c r="I25" s="84"/>
      <c r="J25" s="84"/>
    </row>
    <row r="26" customFormat="false" ht="15.75" hidden="false" customHeight="true" outlineLevel="0" collapsed="false">
      <c r="B26" s="139"/>
      <c r="C26" s="139"/>
      <c r="D26" s="106"/>
      <c r="H26" s="84"/>
      <c r="I26" s="84"/>
    </row>
    <row r="27" customFormat="false" ht="15.75" hidden="false" customHeight="true" outlineLevel="0" collapsed="false">
      <c r="B27" s="140" t="s">
        <v>142</v>
      </c>
      <c r="C27" s="140"/>
      <c r="D27" s="106"/>
      <c r="H27" s="84"/>
      <c r="I27" s="84"/>
    </row>
    <row r="28" customFormat="false" ht="15.75" hidden="false" customHeight="true" outlineLevel="0" collapsed="false">
      <c r="B28" s="98" t="s">
        <v>124</v>
      </c>
      <c r="C28" s="141" t="n">
        <f aca="false">SUM(M5:M13)</f>
        <v>196</v>
      </c>
      <c r="I28" s="106"/>
    </row>
    <row r="29" customFormat="false" ht="14.25" hidden="false" customHeight="false" outlineLevel="0" collapsed="false">
      <c r="B29" s="84"/>
      <c r="C29" s="84"/>
      <c r="D29" s="84"/>
    </row>
    <row r="30" customFormat="false" ht="14.25" hidden="false" customHeight="false" outlineLevel="0" collapsed="false">
      <c r="B30" s="142" t="s">
        <v>143</v>
      </c>
      <c r="C30" s="143"/>
      <c r="D30" s="84"/>
    </row>
    <row r="31" customFormat="false" ht="14.25" hidden="false" customHeight="false" outlineLevel="0" collapsed="false">
      <c r="B31" s="112"/>
      <c r="C31" s="106"/>
      <c r="D31" s="106"/>
    </row>
    <row r="32" customFormat="false" ht="14.25" hidden="false" customHeight="false" outlineLevel="0" collapsed="false">
      <c r="B32" s="144" t="s">
        <v>67</v>
      </c>
      <c r="C32" s="144"/>
      <c r="D32" s="144"/>
      <c r="E32" s="144"/>
    </row>
    <row r="33" customFormat="false" ht="14.25" hidden="false" customHeight="false" outlineLevel="0" collapsed="false">
      <c r="B33" s="98" t="s">
        <v>144</v>
      </c>
      <c r="C33" s="98" t="s">
        <v>122</v>
      </c>
      <c r="D33" s="98" t="s">
        <v>123</v>
      </c>
      <c r="E33" s="98" t="s">
        <v>124</v>
      </c>
    </row>
    <row r="34" customFormat="false" ht="29.25" hidden="false" customHeight="true" outlineLevel="0" collapsed="false">
      <c r="B34" s="113" t="s">
        <v>145</v>
      </c>
      <c r="C34" s="145" t="s">
        <v>146</v>
      </c>
      <c r="D34" s="113" t="s">
        <v>147</v>
      </c>
      <c r="E34" s="146" t="n">
        <v>139.4</v>
      </c>
    </row>
    <row r="35" customFormat="false" ht="23.25" hidden="false" customHeight="true" outlineLevel="0" collapsed="false">
      <c r="B35" s="147" t="s">
        <v>148</v>
      </c>
      <c r="C35" s="147"/>
      <c r="D35" s="147"/>
      <c r="E35" s="147"/>
    </row>
    <row r="36" customFormat="false" ht="14.25" hidden="false" customHeight="false" outlineLevel="0" collapsed="false">
      <c r="B36" s="148"/>
      <c r="C36" s="84"/>
      <c r="D36" s="84"/>
    </row>
    <row r="37" customFormat="false" ht="14.25" hidden="false" customHeight="false" outlineLevel="0" collapsed="false">
      <c r="B37" s="139"/>
      <c r="C37" s="106"/>
      <c r="D37" s="106"/>
    </row>
    <row r="38" customFormat="false" ht="14.25" hidden="false" customHeight="false" outlineLevel="0" collapsed="false">
      <c r="B38" s="106"/>
      <c r="C38" s="106"/>
      <c r="D38" s="112"/>
    </row>
    <row r="39" customFormat="false" ht="14.25" hidden="false" customHeight="false" outlineLevel="0" collapsed="false">
      <c r="B39" s="106"/>
      <c r="C39" s="106"/>
      <c r="D39" s="112"/>
    </row>
    <row r="40" customFormat="false" ht="14.25" hidden="false" customHeight="false" outlineLevel="0" collapsed="false">
      <c r="B40" s="139"/>
      <c r="C40" s="106"/>
      <c r="D40" s="149"/>
    </row>
    <row r="41" customFormat="false" ht="14.25" hidden="false" customHeight="false" outlineLevel="0" collapsed="false">
      <c r="B41" s="84"/>
      <c r="C41" s="84"/>
      <c r="D41" s="84"/>
    </row>
    <row r="42" customFormat="false" ht="14.25" hidden="false" customHeight="false" outlineLevel="0" collapsed="false">
      <c r="B42" s="150"/>
      <c r="C42" s="84"/>
      <c r="D42" s="84"/>
    </row>
    <row r="43" customFormat="false" ht="14.25" hidden="false" customHeight="false" outlineLevel="0" collapsed="false">
      <c r="B43" s="112"/>
      <c r="C43" s="106"/>
      <c r="D43" s="106"/>
    </row>
    <row r="44" customFormat="false" ht="14.25" hidden="false" customHeight="false" outlineLevel="0" collapsed="false">
      <c r="B44" s="139"/>
      <c r="C44" s="106"/>
      <c r="D44" s="106"/>
    </row>
    <row r="45" customFormat="false" ht="14.25" hidden="false" customHeight="false" outlineLevel="0" collapsed="false">
      <c r="B45" s="106"/>
      <c r="C45" s="106"/>
      <c r="D45" s="112"/>
    </row>
    <row r="46" customFormat="false" ht="14.25" hidden="false" customHeight="false" outlineLevel="0" collapsed="false">
      <c r="B46" s="106"/>
      <c r="C46" s="106"/>
      <c r="D46" s="112"/>
    </row>
    <row r="47" customFormat="false" ht="14.25" hidden="false" customHeight="false" outlineLevel="0" collapsed="false">
      <c r="B47" s="106"/>
      <c r="C47" s="106"/>
      <c r="D47" s="112"/>
    </row>
    <row r="48" customFormat="false" ht="14.25" hidden="false" customHeight="false" outlineLevel="0" collapsed="false">
      <c r="B48" s="139"/>
      <c r="C48" s="106"/>
      <c r="D48" s="149"/>
    </row>
  </sheetData>
  <mergeCells count="4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4:F14"/>
    <mergeCell ref="H14:J14"/>
    <mergeCell ref="B16:E16"/>
    <mergeCell ref="B20:E20"/>
    <mergeCell ref="B22:C22"/>
    <mergeCell ref="B27:C27"/>
    <mergeCell ref="B32:E32"/>
    <mergeCell ref="B35:E35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4" colorId="64" zoomScale="108" zoomScaleNormal="108" zoomScalePageLayoutView="100" workbookViewId="0">
      <selection pane="topLeft" activeCell="M30" activeCellId="0" sqref="M30"/>
    </sheetView>
  </sheetViews>
  <sheetFormatPr defaultColWidth="8.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5.88"/>
    <col collapsed="false" customWidth="true" hidden="false" outlineLevel="0" max="8" min="8" style="1" width="12"/>
    <col collapsed="false" customWidth="true" hidden="false" outlineLevel="0" max="9" min="9" style="1" width="14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51" t="s">
        <v>149</v>
      </c>
      <c r="C2" s="151"/>
      <c r="D2" s="151"/>
      <c r="E2" s="151"/>
      <c r="F2" s="151"/>
      <c r="G2" s="151"/>
      <c r="H2" s="151"/>
      <c r="I2" s="151"/>
    </row>
    <row r="3" customFormat="false" ht="21" hidden="false" customHeight="true" outlineLevel="0" collapsed="false"/>
    <row r="4" customFormat="false" ht="16.5" hidden="false" customHeight="true" outlineLevel="0" collapsed="false">
      <c r="B4" s="152" t="s">
        <v>150</v>
      </c>
      <c r="C4" s="152"/>
      <c r="D4" s="152"/>
      <c r="E4" s="152"/>
      <c r="F4" s="152"/>
      <c r="G4" s="152"/>
      <c r="H4" s="152"/>
      <c r="I4" s="152"/>
    </row>
    <row r="5" customFormat="false" ht="16.5" hidden="false" customHeight="true" outlineLevel="0" collapsed="false">
      <c r="B5" s="153" t="s">
        <v>151</v>
      </c>
      <c r="C5" s="153"/>
      <c r="D5" s="154" t="s">
        <v>152</v>
      </c>
      <c r="E5" s="154"/>
      <c r="F5" s="154"/>
      <c r="G5" s="154"/>
      <c r="H5" s="154"/>
      <c r="I5" s="154"/>
    </row>
    <row r="6" customFormat="false" ht="16.5" hidden="false" customHeight="true" outlineLevel="0" collapsed="false">
      <c r="B6" s="153" t="s">
        <v>122</v>
      </c>
      <c r="C6" s="153"/>
      <c r="D6" s="154" t="s">
        <v>153</v>
      </c>
      <c r="E6" s="154"/>
      <c r="F6" s="154"/>
      <c r="G6" s="154"/>
      <c r="H6" s="154"/>
      <c r="I6" s="154"/>
    </row>
    <row r="7" customFormat="false" ht="16.5" hidden="false" customHeight="true" outlineLevel="0" collapsed="false">
      <c r="B7" s="153" t="s">
        <v>154</v>
      </c>
      <c r="C7" s="153"/>
      <c r="D7" s="155" t="s">
        <v>155</v>
      </c>
      <c r="E7" s="155"/>
      <c r="F7" s="155"/>
      <c r="G7" s="155"/>
      <c r="H7" s="155"/>
      <c r="I7" s="155"/>
    </row>
    <row r="8" customFormat="false" ht="16.5" hidden="false" customHeight="true" outlineLevel="0" collapsed="false">
      <c r="B8" s="153" t="s">
        <v>156</v>
      </c>
      <c r="C8" s="153"/>
      <c r="D8" s="154" t="s">
        <v>157</v>
      </c>
      <c r="E8" s="154"/>
      <c r="F8" s="154"/>
      <c r="G8" s="154"/>
      <c r="H8" s="154"/>
      <c r="I8" s="154"/>
    </row>
    <row r="9" customFormat="false" ht="16.5" hidden="false" customHeight="true" outlineLevel="0" collapsed="false">
      <c r="B9" s="153" t="s">
        <v>158</v>
      </c>
      <c r="C9" s="153"/>
      <c r="D9" s="154" t="s">
        <v>159</v>
      </c>
      <c r="E9" s="154"/>
      <c r="F9" s="154"/>
      <c r="G9" s="154"/>
      <c r="H9" s="154"/>
      <c r="I9" s="154"/>
    </row>
    <row r="10" customFormat="false" ht="16.5" hidden="false" customHeight="true" outlineLevel="0" collapsed="false">
      <c r="B10" s="153" t="s">
        <v>123</v>
      </c>
      <c r="C10" s="153"/>
      <c r="D10" s="154" t="s">
        <v>127</v>
      </c>
      <c r="E10" s="154"/>
      <c r="F10" s="154"/>
      <c r="G10" s="154"/>
      <c r="H10" s="154"/>
      <c r="I10" s="154"/>
    </row>
    <row r="11" customFormat="false" ht="23.25" hidden="false" customHeight="true" outlineLevel="0" collapsed="false">
      <c r="B11" s="156" t="s">
        <v>160</v>
      </c>
      <c r="C11" s="156"/>
      <c r="D11" s="157" t="n">
        <f aca="false">SUM(I14:I18)</f>
        <v>52.49</v>
      </c>
      <c r="E11" s="157"/>
      <c r="F11" s="157"/>
      <c r="G11" s="157"/>
      <c r="H11" s="157"/>
      <c r="I11" s="157"/>
    </row>
    <row r="12" customFormat="false" ht="15.75" hidden="false" customHeight="true" outlineLevel="0" collapsed="false">
      <c r="B12" s="158"/>
      <c r="C12" s="158"/>
      <c r="D12" s="159"/>
      <c r="E12" s="159"/>
      <c r="F12" s="159"/>
      <c r="G12" s="159"/>
      <c r="H12" s="159"/>
      <c r="I12" s="159"/>
    </row>
    <row r="13" customFormat="false" ht="29.25" hidden="false" customHeight="true" outlineLevel="0" collapsed="false">
      <c r="B13" s="160"/>
      <c r="C13" s="160" t="s">
        <v>161</v>
      </c>
      <c r="D13" s="160" t="s">
        <v>122</v>
      </c>
      <c r="E13" s="160" t="s">
        <v>158</v>
      </c>
      <c r="F13" s="160" t="s">
        <v>123</v>
      </c>
      <c r="G13" s="160" t="s">
        <v>160</v>
      </c>
      <c r="H13" s="160" t="s">
        <v>162</v>
      </c>
      <c r="I13" s="160" t="s">
        <v>160</v>
      </c>
    </row>
    <row r="14" customFormat="false" ht="27.75" hidden="false" customHeight="true" outlineLevel="0" collapsed="false">
      <c r="B14" s="161" t="s">
        <v>163</v>
      </c>
      <c r="C14" s="161" t="s">
        <v>164</v>
      </c>
      <c r="D14" s="162" t="s">
        <v>165</v>
      </c>
      <c r="E14" s="162" t="s">
        <v>159</v>
      </c>
      <c r="F14" s="161" t="s">
        <v>166</v>
      </c>
      <c r="G14" s="163" t="n">
        <v>4.58</v>
      </c>
      <c r="H14" s="163" t="n">
        <v>1</v>
      </c>
      <c r="I14" s="163" t="n">
        <f aca="false">G14*H14</f>
        <v>4.58</v>
      </c>
    </row>
    <row r="15" customFormat="false" ht="27.75" hidden="false" customHeight="true" outlineLevel="0" collapsed="false">
      <c r="B15" s="161" t="s">
        <v>163</v>
      </c>
      <c r="C15" s="161" t="s">
        <v>167</v>
      </c>
      <c r="D15" s="162" t="s">
        <v>168</v>
      </c>
      <c r="E15" s="162" t="s">
        <v>159</v>
      </c>
      <c r="F15" s="161" t="s">
        <v>166</v>
      </c>
      <c r="G15" s="163" t="n">
        <v>1.41</v>
      </c>
      <c r="H15" s="163" t="n">
        <v>1</v>
      </c>
      <c r="I15" s="163" t="n">
        <f aca="false">G15*H15</f>
        <v>1.41</v>
      </c>
    </row>
    <row r="16" customFormat="false" ht="42" hidden="false" customHeight="true" outlineLevel="0" collapsed="false">
      <c r="B16" s="161" t="s">
        <v>163</v>
      </c>
      <c r="C16" s="161" t="s">
        <v>169</v>
      </c>
      <c r="D16" s="162" t="s">
        <v>170</v>
      </c>
      <c r="E16" s="162" t="s">
        <v>159</v>
      </c>
      <c r="F16" s="161" t="s">
        <v>166</v>
      </c>
      <c r="G16" s="163" t="n">
        <v>0.57</v>
      </c>
      <c r="H16" s="163" t="n">
        <v>1</v>
      </c>
      <c r="I16" s="163" t="n">
        <f aca="false">G16*H16</f>
        <v>0.57</v>
      </c>
    </row>
    <row r="17" customFormat="false" ht="27.75" hidden="false" customHeight="true" outlineLevel="0" collapsed="false">
      <c r="B17" s="161" t="s">
        <v>163</v>
      </c>
      <c r="C17" s="161" t="s">
        <v>171</v>
      </c>
      <c r="D17" s="162" t="s">
        <v>172</v>
      </c>
      <c r="E17" s="162" t="s">
        <v>159</v>
      </c>
      <c r="F17" s="161" t="s">
        <v>166</v>
      </c>
      <c r="G17" s="163" t="n">
        <v>5.73</v>
      </c>
      <c r="H17" s="163" t="n">
        <v>1</v>
      </c>
      <c r="I17" s="163" t="n">
        <f aca="false">G17*H17</f>
        <v>5.73</v>
      </c>
    </row>
    <row r="18" customFormat="false" ht="42" hidden="false" customHeight="true" outlineLevel="0" collapsed="false">
      <c r="B18" s="161" t="s">
        <v>163</v>
      </c>
      <c r="C18" s="161" t="s">
        <v>173</v>
      </c>
      <c r="D18" s="162" t="s">
        <v>174</v>
      </c>
      <c r="E18" s="162" t="s">
        <v>159</v>
      </c>
      <c r="F18" s="161" t="s">
        <v>166</v>
      </c>
      <c r="G18" s="163" t="n">
        <v>40.2</v>
      </c>
      <c r="H18" s="163" t="n">
        <v>1</v>
      </c>
      <c r="I18" s="163" t="n">
        <f aca="false">G18*H18</f>
        <v>40.2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51" t="s">
        <v>175</v>
      </c>
      <c r="C20" s="151"/>
      <c r="D20" s="151"/>
      <c r="E20" s="151"/>
      <c r="F20" s="151"/>
      <c r="G20" s="151"/>
      <c r="H20" s="151"/>
      <c r="I20" s="151"/>
    </row>
    <row r="21" customFormat="false" ht="16.5" hidden="false" customHeight="true" outlineLevel="0" collapsed="false">
      <c r="B21" s="156" t="s">
        <v>151</v>
      </c>
      <c r="C21" s="156"/>
      <c r="D21" s="164" t="s">
        <v>176</v>
      </c>
      <c r="E21" s="164"/>
      <c r="F21" s="164"/>
      <c r="G21" s="164"/>
      <c r="H21" s="164"/>
      <c r="I21" s="164"/>
    </row>
    <row r="22" customFormat="false" ht="16.5" hidden="false" customHeight="true" outlineLevel="0" collapsed="false">
      <c r="B22" s="156" t="s">
        <v>122</v>
      </c>
      <c r="C22" s="156"/>
      <c r="D22" s="164" t="s">
        <v>177</v>
      </c>
      <c r="E22" s="164"/>
      <c r="F22" s="164"/>
      <c r="G22" s="164"/>
      <c r="H22" s="164"/>
      <c r="I22" s="164"/>
    </row>
    <row r="23" customFormat="false" ht="16.5" hidden="false" customHeight="true" outlineLevel="0" collapsed="false">
      <c r="B23" s="156" t="s">
        <v>154</v>
      </c>
      <c r="C23" s="156"/>
      <c r="D23" s="165" t="str">
        <f aca="false">D7</f>
        <v>01/2025</v>
      </c>
      <c r="E23" s="165"/>
      <c r="F23" s="165"/>
      <c r="G23" s="165"/>
      <c r="H23" s="165"/>
      <c r="I23" s="165"/>
    </row>
    <row r="24" customFormat="false" ht="16.5" hidden="false" customHeight="true" outlineLevel="0" collapsed="false">
      <c r="B24" s="156" t="s">
        <v>156</v>
      </c>
      <c r="C24" s="156"/>
      <c r="D24" s="164" t="str">
        <f aca="false">D8</f>
        <v>Rio Grande do Sul</v>
      </c>
      <c r="E24" s="164"/>
      <c r="F24" s="164"/>
      <c r="G24" s="164"/>
      <c r="H24" s="164"/>
      <c r="I24" s="164"/>
    </row>
    <row r="25" customFormat="false" ht="16.5" hidden="false" customHeight="true" outlineLevel="0" collapsed="false">
      <c r="B25" s="156" t="s">
        <v>158</v>
      </c>
      <c r="C25" s="156"/>
      <c r="D25" s="164" t="s">
        <v>159</v>
      </c>
      <c r="E25" s="164"/>
      <c r="F25" s="164"/>
      <c r="G25" s="164"/>
      <c r="H25" s="164"/>
      <c r="I25" s="164"/>
    </row>
    <row r="26" customFormat="false" ht="16.5" hidden="false" customHeight="true" outlineLevel="0" collapsed="false">
      <c r="B26" s="156" t="s">
        <v>123</v>
      </c>
      <c r="C26" s="156"/>
      <c r="D26" s="164" t="s">
        <v>129</v>
      </c>
      <c r="E26" s="164"/>
      <c r="F26" s="164"/>
      <c r="G26" s="164"/>
      <c r="H26" s="164"/>
      <c r="I26" s="164"/>
    </row>
    <row r="27" customFormat="false" ht="23.25" hidden="false" customHeight="true" outlineLevel="0" collapsed="false">
      <c r="B27" s="156" t="s">
        <v>160</v>
      </c>
      <c r="C27" s="156"/>
      <c r="D27" s="166" t="n">
        <f aca="false">SUM(I30:I32)</f>
        <v>6.56</v>
      </c>
      <c r="E27" s="166"/>
      <c r="F27" s="166"/>
      <c r="G27" s="166"/>
      <c r="H27" s="166"/>
      <c r="I27" s="166"/>
    </row>
    <row r="28" customFormat="false" ht="15.75" hidden="false" customHeight="true" outlineLevel="0" collapsed="false">
      <c r="B28" s="158"/>
      <c r="C28" s="158"/>
      <c r="D28" s="159"/>
      <c r="E28" s="159"/>
      <c r="F28" s="159"/>
      <c r="G28" s="159"/>
      <c r="H28" s="159"/>
      <c r="I28" s="159"/>
    </row>
    <row r="29" customFormat="false" ht="29.25" hidden="false" customHeight="true" outlineLevel="0" collapsed="false">
      <c r="B29" s="160"/>
      <c r="C29" s="160" t="s">
        <v>161</v>
      </c>
      <c r="D29" s="160" t="s">
        <v>122</v>
      </c>
      <c r="E29" s="160" t="s">
        <v>158</v>
      </c>
      <c r="F29" s="160" t="s">
        <v>123</v>
      </c>
      <c r="G29" s="167" t="s">
        <v>178</v>
      </c>
      <c r="H29" s="160" t="s">
        <v>162</v>
      </c>
      <c r="I29" s="160" t="s">
        <v>160</v>
      </c>
    </row>
    <row r="30" customFormat="false" ht="27.75" hidden="false" customHeight="true" outlineLevel="0" collapsed="false">
      <c r="B30" s="161" t="s">
        <v>163</v>
      </c>
      <c r="C30" s="161" t="s">
        <v>164</v>
      </c>
      <c r="D30" s="162" t="s">
        <v>165</v>
      </c>
      <c r="E30" s="162" t="s">
        <v>159</v>
      </c>
      <c r="F30" s="161" t="s">
        <v>166</v>
      </c>
      <c r="G30" s="163" t="n">
        <f aca="false">G14</f>
        <v>4.58</v>
      </c>
      <c r="H30" s="163" t="n">
        <v>1</v>
      </c>
      <c r="I30" s="163" t="n">
        <f aca="false">G30*H30</f>
        <v>4.58</v>
      </c>
    </row>
    <row r="31" customFormat="false" ht="27.75" hidden="false" customHeight="true" outlineLevel="0" collapsed="false">
      <c r="B31" s="161" t="s">
        <v>163</v>
      </c>
      <c r="C31" s="161" t="s">
        <v>167</v>
      </c>
      <c r="D31" s="162" t="s">
        <v>168</v>
      </c>
      <c r="E31" s="162" t="s">
        <v>159</v>
      </c>
      <c r="F31" s="161" t="s">
        <v>166</v>
      </c>
      <c r="G31" s="163" t="n">
        <f aca="false">G15</f>
        <v>1.41</v>
      </c>
      <c r="H31" s="163" t="n">
        <v>1</v>
      </c>
      <c r="I31" s="163" t="n">
        <f aca="false">G31*H31</f>
        <v>1.41</v>
      </c>
    </row>
    <row r="32" customFormat="false" ht="42" hidden="false" customHeight="true" outlineLevel="0" collapsed="false">
      <c r="B32" s="161" t="s">
        <v>163</v>
      </c>
      <c r="C32" s="161" t="s">
        <v>169</v>
      </c>
      <c r="D32" s="162" t="s">
        <v>170</v>
      </c>
      <c r="E32" s="162" t="s">
        <v>159</v>
      </c>
      <c r="F32" s="161" t="s">
        <v>166</v>
      </c>
      <c r="G32" s="163" t="n">
        <f aca="false">G16</f>
        <v>0.57</v>
      </c>
      <c r="H32" s="163" t="n">
        <v>1</v>
      </c>
      <c r="I32" s="163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B16" activeCellId="0" sqref="B16"/>
    </sheetView>
  </sheetViews>
  <sheetFormatPr defaultColWidth="10.125" defaultRowHeight="12.75" zeroHeight="false" outlineLevelRow="0" outlineLevelCol="0"/>
  <cols>
    <col collapsed="false" customWidth="true" hidden="false" outlineLevel="0" max="1" min="1" style="168" width="5"/>
    <col collapsed="false" customWidth="true" hidden="false" outlineLevel="0" max="2" min="2" style="168" width="33.62"/>
    <col collapsed="false" customWidth="true" hidden="false" outlineLevel="0" max="3" min="3" style="168" width="27.76"/>
    <col collapsed="false" customWidth="true" hidden="false" outlineLevel="0" max="4" min="4" style="168" width="15"/>
    <col collapsed="false" customWidth="true" hidden="false" outlineLevel="0" max="5" min="5" style="168" width="7.5"/>
    <col collapsed="false" customWidth="false" hidden="false" outlineLevel="0" max="16384" min="6" style="168" width="10.12"/>
  </cols>
  <sheetData>
    <row r="1" customFormat="false" ht="15" hidden="false" customHeight="true" outlineLevel="0" collapsed="false"/>
    <row r="2" customFormat="false" ht="15" hidden="false" customHeight="true" outlineLevel="0" collapsed="false">
      <c r="C2" s="169" t="s">
        <v>179</v>
      </c>
    </row>
    <row r="3" customFormat="false" ht="15" hidden="false" customHeight="true" outlineLevel="0" collapsed="false">
      <c r="B3" s="170" t="s">
        <v>180</v>
      </c>
      <c r="C3" s="169" t="s">
        <v>181</v>
      </c>
    </row>
    <row r="4" customFormat="false" ht="15" hidden="false" customHeight="true" outlineLevel="0" collapsed="false">
      <c r="B4" s="170" t="s">
        <v>182</v>
      </c>
      <c r="C4" s="171" t="s">
        <v>183</v>
      </c>
    </row>
    <row r="5" customFormat="false" ht="15" hidden="false" customHeight="true" outlineLevel="0" collapsed="false">
      <c r="B5" s="170" t="s">
        <v>184</v>
      </c>
      <c r="C5" s="171" t="s">
        <v>155</v>
      </c>
    </row>
    <row r="6" customFormat="false" ht="15" hidden="false" customHeight="true" outlineLevel="0" collapsed="false">
      <c r="B6" s="170" t="s">
        <v>185</v>
      </c>
      <c r="C6" s="172" t="n">
        <v>78.48</v>
      </c>
    </row>
    <row r="7" customFormat="false" ht="12.75" hidden="false" customHeight="false" outlineLevel="0" collapsed="false">
      <c r="B7" s="173"/>
      <c r="C7" s="174"/>
    </row>
    <row r="8" customFormat="false" ht="27.75" hidden="false" customHeight="true" outlineLevel="0" collapsed="false">
      <c r="B8" s="175" t="s">
        <v>186</v>
      </c>
      <c r="C8" s="176" t="s">
        <v>187</v>
      </c>
    </row>
    <row r="9" customFormat="false" ht="15" hidden="false" customHeight="true" outlineLevel="0" collapsed="false">
      <c r="B9" s="170" t="s">
        <v>188</v>
      </c>
      <c r="C9" s="177" t="n">
        <v>0.9022</v>
      </c>
    </row>
    <row r="10" customFormat="false" ht="15" hidden="false" customHeight="true" outlineLevel="0" collapsed="false">
      <c r="B10" s="170" t="s">
        <v>189</v>
      </c>
      <c r="C10" s="177" t="n">
        <v>1.1284</v>
      </c>
    </row>
    <row r="11" customFormat="false" ht="13.5" hidden="false" customHeight="true" outlineLevel="0" collapsed="false">
      <c r="B11" s="173"/>
      <c r="C11" s="173"/>
    </row>
    <row r="12" customFormat="false" ht="15" hidden="false" customHeight="true" outlineLevel="0" collapsed="false">
      <c r="B12" s="178" t="s">
        <v>190</v>
      </c>
      <c r="C12" s="179"/>
    </row>
    <row r="13" customFormat="false" ht="15" hidden="false" customHeight="true" outlineLevel="0" collapsed="false">
      <c r="B13" s="180" t="s">
        <v>191</v>
      </c>
      <c r="C13" s="181" t="n">
        <f aca="false">C6*(1+C9)</f>
        <v>149.284656</v>
      </c>
      <c r="D13" s="182"/>
      <c r="F13" s="183"/>
    </row>
    <row r="14" customFormat="false" ht="15" hidden="false" customHeight="true" outlineLevel="0" collapsed="false">
      <c r="B14" s="180" t="s">
        <v>192</v>
      </c>
      <c r="C14" s="181" t="n">
        <f aca="false">C6*(1+C10)</f>
        <v>167.036832</v>
      </c>
      <c r="D14" s="182"/>
      <c r="F14" s="183"/>
    </row>
    <row r="16" customFormat="false" ht="40.5" hidden="false" customHeight="true" outlineLevel="0" collapsed="false">
      <c r="B16" s="184" t="s">
        <v>193</v>
      </c>
      <c r="C16" s="184"/>
    </row>
  </sheetData>
  <mergeCells count="1">
    <mergeCell ref="B16:C16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F49AAB-6571-4DE0-8822-362ABB652C05}"/>
</file>

<file path=customXml/itemProps2.xml><?xml version="1.0" encoding="utf-8"?>
<ds:datastoreItem xmlns:ds="http://schemas.openxmlformats.org/officeDocument/2006/customXml" ds:itemID="{3E6B7B9C-0BB1-4C29-ABE8-6E30B4A1262E}"/>
</file>

<file path=customXml/itemProps3.xml><?xml version="1.0" encoding="utf-8"?>
<ds:datastoreItem xmlns:ds="http://schemas.openxmlformats.org/officeDocument/2006/customXml" ds:itemID="{72FAE896-5FBC-4B4D-BA84-54C81F72C5F2}"/>
</file>

<file path=customXml/itemProps4.xml><?xml version="1.0" encoding="utf-8"?>
<ds:datastoreItem xmlns:ds="http://schemas.openxmlformats.org/officeDocument/2006/customXml" ds:itemID="{53F9A928-FD59-4F0D-AD93-6297CD336674}"/>
</file>

<file path=customXml/itemProps5.xml><?xml version="1.0" encoding="utf-8"?>
<ds:datastoreItem xmlns:ds="http://schemas.openxmlformats.org/officeDocument/2006/customXml" ds:itemID="{223F93E8-D684-4D04-9EE6-C8D678066801}"/>
</file>

<file path=customXml/itemProps6.xml><?xml version="1.0" encoding="utf-8"?>
<ds:datastoreItem xmlns:ds="http://schemas.openxmlformats.org/officeDocument/2006/customXml" ds:itemID="{D0580772-4ED1-4AFD-BAF3-BDA04E424B8C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38</cp:revision>
  <dcterms:created xsi:type="dcterms:W3CDTF">2022-02-01T12:05:24Z</dcterms:created>
  <dcterms:modified xsi:type="dcterms:W3CDTF">2025-04-04T09:42:38Z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